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5" firstSheet="26" activeTab="32"/>
  </bookViews>
  <sheets>
    <sheet name="Гагарина 11" sheetId="1" r:id="rId1"/>
    <sheet name="Гагарина 13" sheetId="2" r:id="rId2"/>
    <sheet name="Гагарина 2а" sheetId="3" r:id="rId3"/>
    <sheet name="Гагарина 2б" sheetId="4" r:id="rId4"/>
    <sheet name="Гагарина 2в" sheetId="5" r:id="rId5"/>
    <sheet name="Гагарина 2г" sheetId="6" r:id="rId6"/>
    <sheet name="Гагарина 9" sheetId="7" r:id="rId7"/>
    <sheet name="Гризодубовой 31" sheetId="8" r:id="rId8"/>
    <sheet name="Дубовая роща 12" sheetId="9" r:id="rId9"/>
    <sheet name="коммун 6" sheetId="10" r:id="rId10"/>
    <sheet name="Коммунальная 6а" sheetId="11" r:id="rId11"/>
    <sheet name="Ленинская 5" sheetId="12" r:id="rId12"/>
    <sheet name="М.Расковой 23-4" sheetId="13" r:id="rId13"/>
    <sheet name="М.Расковой 32" sheetId="14" r:id="rId14"/>
    <sheet name="М.Расковой 34" sheetId="15" r:id="rId15"/>
    <sheet name="М.Расковой 34б" sheetId="16" r:id="rId16"/>
    <sheet name="Моторная 7" sheetId="17" r:id="rId17"/>
    <sheet name="Н.Стройка 10" sheetId="18" r:id="rId18"/>
    <sheet name="Н.Стройка 12" sheetId="19" r:id="rId19"/>
    <sheet name="Н.Стройка 14" sheetId="20" r:id="rId20"/>
    <sheet name="Н.Стройка 4" sheetId="21" r:id="rId21"/>
    <sheet name="Н.Стройка 8" sheetId="22" r:id="rId22"/>
    <sheet name="Осипенко 38" sheetId="23" r:id="rId23"/>
    <sheet name="Осипенко 40" sheetId="24" r:id="rId24"/>
    <sheet name="Осипенко 43" sheetId="25" r:id="rId25"/>
    <sheet name="сем 11" sheetId="26" r:id="rId26"/>
    <sheet name="Семашко 13" sheetId="27" r:id="rId27"/>
    <sheet name="Семашко 17" sheetId="28" r:id="rId28"/>
    <sheet name="Семашко 3" sheetId="29" r:id="rId29"/>
    <sheet name="Семашко 5" sheetId="30" r:id="rId30"/>
    <sheet name="Семашко 5а" sheetId="31" r:id="rId31"/>
    <sheet name="Семашко 7" sheetId="32" r:id="rId32"/>
    <sheet name="Семашко 9" sheetId="33" r:id="rId33"/>
    <sheet name="СХТ 3" sheetId="34" r:id="rId34"/>
    <sheet name="СХТ 4" sheetId="35" r:id="rId35"/>
    <sheet name="Хлебозаводская 120" sheetId="36" r:id="rId36"/>
    <sheet name="Хлебозаводская 134" sheetId="37" r:id="rId37"/>
    <sheet name="Хлебозаводская 136" sheetId="38" r:id="rId38"/>
    <sheet name="Школьная 33" sheetId="39" r:id="rId39"/>
    <sheet name="мол 1" sheetId="40" r:id="rId40"/>
    <sheet name="мол 2" sheetId="41" r:id="rId41"/>
    <sheet name="мол 3" sheetId="42" r:id="rId42"/>
    <sheet name="мол 4" sheetId="43" r:id="rId43"/>
    <sheet name="мол 5" sheetId="44" r:id="rId44"/>
    <sheet name="мол 6" sheetId="45" r:id="rId45"/>
    <sheet name="мол 7" sheetId="46" r:id="rId46"/>
  </sheets>
  <definedNames/>
  <calcPr fullCalcOnLoad="1"/>
</workbook>
</file>

<file path=xl/sharedStrings.xml><?xml version="1.0" encoding="utf-8"?>
<sst xmlns="http://schemas.openxmlformats.org/spreadsheetml/2006/main" count="3139" uniqueCount="84">
  <si>
    <t>г.Грязи</t>
  </si>
  <si>
    <t>ул.</t>
  </si>
  <si>
    <t>д.</t>
  </si>
  <si>
    <t>Общая площадь дома</t>
  </si>
  <si>
    <t>Число квартир</t>
  </si>
  <si>
    <t>Число проживающих</t>
  </si>
  <si>
    <t>чел.</t>
  </si>
  <si>
    <t>Площадь лестничных клеток</t>
  </si>
  <si>
    <t>Придомовая территория</t>
  </si>
  <si>
    <t>Начислено</t>
  </si>
  <si>
    <t>Оплачено</t>
  </si>
  <si>
    <t>Долг</t>
  </si>
  <si>
    <t>Содержание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</si>
  <si>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</si>
  <si>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</si>
  <si>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</si>
  <si>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</si>
  <si>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</si>
  <si>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</si>
  <si>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</si>
  <si>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</si>
  <si>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</si>
  <si>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</si>
  <si>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</si>
  <si>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Найм</t>
  </si>
  <si>
    <t>Январь</t>
  </si>
  <si>
    <t>ИТОГО</t>
  </si>
  <si>
    <t>Долг по дому составил</t>
  </si>
  <si>
    <t>Услуги АДС составили:</t>
  </si>
  <si>
    <t xml:space="preserve">     абонентская плата АДС составила:</t>
  </si>
  <si>
    <t xml:space="preserve">     обслуживание вент.каналов</t>
  </si>
  <si>
    <t>Обслуживание приборов учета</t>
  </si>
  <si>
    <t>Вывоз крупногабаритного мусора составил:</t>
  </si>
  <si>
    <t>Уборка лестничных клеток:</t>
  </si>
  <si>
    <t>Уборка дворовых территорий:</t>
  </si>
  <si>
    <t>Обслужив.внутридомовогогазов.оборуд.:</t>
  </si>
  <si>
    <t>Разноска квитанций:</t>
  </si>
  <si>
    <t>Текущий ремонт:</t>
  </si>
  <si>
    <t>Заявочный ремонт (сод.общедом.имущ.)</t>
  </si>
  <si>
    <t>ВСЕГО РАСХОДОВ</t>
  </si>
  <si>
    <r>
      <t>м</t>
    </r>
    <r>
      <rPr>
        <b/>
        <sz val="10"/>
        <rFont val="Arial Cyr"/>
        <family val="0"/>
      </rPr>
      <t>²</t>
    </r>
  </si>
  <si>
    <t>Установка ОДПУ ХВ</t>
  </si>
  <si>
    <t>Установка ОДПУ ГВ</t>
  </si>
  <si>
    <t>Гагарина</t>
  </si>
  <si>
    <t>2а</t>
  </si>
  <si>
    <t>2б</t>
  </si>
  <si>
    <t>2в</t>
  </si>
  <si>
    <t>Дубовая роща</t>
  </si>
  <si>
    <t>М.Расковой</t>
  </si>
  <si>
    <t>34б</t>
  </si>
  <si>
    <t>Моторная</t>
  </si>
  <si>
    <t>5а</t>
  </si>
  <si>
    <t xml:space="preserve">Осипенко </t>
  </si>
  <si>
    <t>Семашко</t>
  </si>
  <si>
    <t>Хлебозаводская</t>
  </si>
  <si>
    <t>2г</t>
  </si>
  <si>
    <t>Гризодубовой</t>
  </si>
  <si>
    <t>Н.Стройка</t>
  </si>
  <si>
    <t>Осипенко</t>
  </si>
  <si>
    <t>Коммунальная</t>
  </si>
  <si>
    <t>6а</t>
  </si>
  <si>
    <t>Ленинская</t>
  </si>
  <si>
    <t>Установка ОДПУ</t>
  </si>
  <si>
    <t>Молодежная</t>
  </si>
  <si>
    <t>Обслуживание лифтов</t>
  </si>
  <si>
    <t xml:space="preserve">Остаток: </t>
  </si>
  <si>
    <t xml:space="preserve">Остаток:  </t>
  </si>
  <si>
    <t>1,2*3</t>
  </si>
  <si>
    <t>1,2*2</t>
  </si>
  <si>
    <t>Остаток:</t>
  </si>
  <si>
    <t>Установка ОДПУ ТЭ</t>
  </si>
  <si>
    <t>23/4</t>
  </si>
  <si>
    <t>СХТ</t>
  </si>
  <si>
    <t>январь-март</t>
  </si>
  <si>
    <t>Школьная</t>
  </si>
  <si>
    <t>РКЦ ,паспортный стол:</t>
  </si>
  <si>
    <t>Выкашивание придворовых территорий:</t>
  </si>
  <si>
    <t>Дератизация, дезинсекция:</t>
  </si>
  <si>
    <t>РКЦ, паспортный стол:</t>
  </si>
  <si>
    <t>Уборка лестничных клеток и придомовой территории:</t>
  </si>
  <si>
    <t>Вывоз ТБО и КГМ составил:</t>
  </si>
  <si>
    <t xml:space="preserve">Поверка ОДПУ </t>
  </si>
  <si>
    <t>Поверка ОДПУ</t>
  </si>
  <si>
    <t>м²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</si>
</sst>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0.000"/>
    <numFmt numFmtId="191" formatCode="#,##0.00&quot;р.&quot;"/>
    <numFmt numFmtId="192" formatCode="00000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18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9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189" fontId="0" fillId="0" borderId="0" xfId="0" applyNumberFormat="1" applyAlignment="1">
      <alignment/>
    </xf>
    <xf numFmtId="189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10" xfId="0" applyFont="1" applyBorder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6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7.421875" style="0" customWidth="1"/>
    <col min="2" max="2" width="15.28125" style="0" customWidth="1"/>
    <col min="3" max="3" width="13.57421875" style="0" customWidth="1"/>
    <col min="4" max="4" width="14.140625" style="0" customWidth="1"/>
  </cols>
  <sheetData>
    <row r="1" spans="1:7" ht="12.75">
      <c r="A1" s="1" t="s">
        <v>0</v>
      </c>
      <c r="B1" s="2" t="s">
        <v>1</v>
      </c>
      <c r="C1" s="1" t="s">
        <v>43</v>
      </c>
      <c r="D1" s="1"/>
      <c r="E1" s="1" t="s">
        <v>2</v>
      </c>
      <c r="F1" s="3">
        <v>11</v>
      </c>
      <c r="G1">
        <v>2016</v>
      </c>
    </row>
    <row r="3" spans="1:5" ht="12.75">
      <c r="A3" t="s">
        <v>3</v>
      </c>
      <c r="D3" s="4">
        <v>3936.7</v>
      </c>
      <c r="E3" s="5" t="s">
        <v>40</v>
      </c>
    </row>
    <row r="4" spans="1:5" ht="12.75">
      <c r="A4" t="s">
        <v>4</v>
      </c>
      <c r="D4" s="4">
        <v>88</v>
      </c>
      <c r="E4" s="5"/>
    </row>
    <row r="5" spans="1:5" ht="12.75">
      <c r="A5" t="s">
        <v>5</v>
      </c>
      <c r="D5" s="4">
        <v>185</v>
      </c>
      <c r="E5" s="5" t="s">
        <v>6</v>
      </c>
    </row>
    <row r="6" spans="1:5" ht="12.75">
      <c r="A6" t="s">
        <v>7</v>
      </c>
      <c r="D6" s="4">
        <v>445.2</v>
      </c>
      <c r="E6" s="5" t="s">
        <v>40</v>
      </c>
    </row>
    <row r="7" spans="1:5" ht="12.75">
      <c r="A7" t="s">
        <v>8</v>
      </c>
      <c r="D7" s="4">
        <v>10482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977460.23</v>
      </c>
      <c r="C11" s="8">
        <f>SUM(C12:C23)</f>
        <v>1039638.87</v>
      </c>
      <c r="D11" s="8">
        <f>SUM(D12:D23)</f>
        <v>-62178.64000000007</v>
      </c>
    </row>
    <row r="12" spans="1:4" ht="12.75">
      <c r="A12" s="9" t="s">
        <v>25</v>
      </c>
      <c r="B12" s="13">
        <v>78942.15</v>
      </c>
      <c r="C12" s="8">
        <v>77466.27</v>
      </c>
      <c r="D12" s="8">
        <f aca="true" t="shared" si="0" ref="D12:D23">B12-C12</f>
        <v>1475.87999999999</v>
      </c>
    </row>
    <row r="13" spans="1:4" ht="12.75">
      <c r="A13" s="9" t="s">
        <v>13</v>
      </c>
      <c r="B13" s="13">
        <v>78942.15</v>
      </c>
      <c r="C13" s="13">
        <v>87264.3</v>
      </c>
      <c r="D13" s="8">
        <f t="shared" si="0"/>
        <v>-8322.150000000009</v>
      </c>
    </row>
    <row r="14" spans="1:4" ht="12.75">
      <c r="A14" s="9" t="s">
        <v>14</v>
      </c>
      <c r="B14" s="13">
        <v>78942.15</v>
      </c>
      <c r="C14" s="13">
        <v>75951.71</v>
      </c>
      <c r="D14" s="8">
        <f t="shared" si="0"/>
        <v>2990.439999999988</v>
      </c>
    </row>
    <row r="15" spans="1:4" ht="12.75">
      <c r="A15" s="9" t="s">
        <v>15</v>
      </c>
      <c r="B15" s="13">
        <v>78942.15</v>
      </c>
      <c r="C15" s="13">
        <v>87734.51</v>
      </c>
      <c r="D15" s="8">
        <f t="shared" si="0"/>
        <v>-8792.36</v>
      </c>
    </row>
    <row r="16" spans="1:4" ht="12.75">
      <c r="A16" s="9" t="s">
        <v>16</v>
      </c>
      <c r="B16" s="8">
        <f>78942.15-1327.97</f>
        <v>77614.18</v>
      </c>
      <c r="C16" s="13">
        <v>113062.22</v>
      </c>
      <c r="D16" s="8">
        <f t="shared" si="0"/>
        <v>-35448.04000000001</v>
      </c>
    </row>
    <row r="17" spans="1:4" ht="12.75">
      <c r="A17" s="9" t="s">
        <v>17</v>
      </c>
      <c r="B17" s="8">
        <v>78942.15</v>
      </c>
      <c r="C17" s="13">
        <v>89246.45</v>
      </c>
      <c r="D17" s="8">
        <f t="shared" si="0"/>
        <v>-10304.300000000003</v>
      </c>
    </row>
    <row r="18" spans="1:4" ht="12.75">
      <c r="A18" s="9" t="s">
        <v>18</v>
      </c>
      <c r="B18" s="8">
        <v>78942.15</v>
      </c>
      <c r="C18" s="13">
        <v>66336.55</v>
      </c>
      <c r="D18" s="8">
        <f t="shared" si="0"/>
        <v>12605.599999999991</v>
      </c>
    </row>
    <row r="19" spans="1:4" ht="12.75">
      <c r="A19" s="9" t="s">
        <v>19</v>
      </c>
      <c r="B19" s="8">
        <v>78942.15</v>
      </c>
      <c r="C19" s="13">
        <v>92077.59</v>
      </c>
      <c r="D19" s="8">
        <f t="shared" si="0"/>
        <v>-13135.440000000002</v>
      </c>
    </row>
    <row r="20" spans="1:4" ht="12.75">
      <c r="A20" s="9" t="s">
        <v>20</v>
      </c>
      <c r="B20" s="13">
        <v>86812.75</v>
      </c>
      <c r="C20" s="13">
        <v>81291.91</v>
      </c>
      <c r="D20" s="8">
        <f t="shared" si="0"/>
        <v>5520.8399999999965</v>
      </c>
    </row>
    <row r="21" spans="1:4" ht="12.75">
      <c r="A21" s="9" t="s">
        <v>21</v>
      </c>
      <c r="B21" s="13">
        <v>86812.75</v>
      </c>
      <c r="C21" s="13">
        <v>93245.24</v>
      </c>
      <c r="D21" s="13">
        <f t="shared" si="0"/>
        <v>-6432.490000000005</v>
      </c>
    </row>
    <row r="22" spans="1:4" ht="12.75">
      <c r="A22" s="9" t="s">
        <v>22</v>
      </c>
      <c r="B22" s="13">
        <v>86812.75</v>
      </c>
      <c r="C22" s="13">
        <v>87088.27</v>
      </c>
      <c r="D22" s="13">
        <f t="shared" si="0"/>
        <v>-275.5200000000041</v>
      </c>
    </row>
    <row r="23" spans="1:4" ht="12.75">
      <c r="A23" s="9" t="s">
        <v>23</v>
      </c>
      <c r="B23" s="13">
        <v>86812.75</v>
      </c>
      <c r="C23" s="13">
        <v>88873.85</v>
      </c>
      <c r="D23" s="13">
        <f t="shared" si="0"/>
        <v>-2061.100000000006</v>
      </c>
    </row>
    <row r="24" spans="1:4" ht="12.75">
      <c r="A24" s="7" t="s">
        <v>24</v>
      </c>
      <c r="B24" s="8">
        <f>SUM(B25:B36)</f>
        <v>181.32</v>
      </c>
      <c r="C24" s="8">
        <f>SUM(C25:C36)</f>
        <v>235.73</v>
      </c>
      <c r="D24" s="8">
        <f>SUM(D25:D36)</f>
        <v>-54.410000000000004</v>
      </c>
    </row>
    <row r="25" spans="1:4" ht="12.75">
      <c r="A25" s="9" t="s">
        <v>25</v>
      </c>
      <c r="B25" s="8">
        <v>16.87</v>
      </c>
      <c r="C25" s="8">
        <v>14.08</v>
      </c>
      <c r="D25" s="8">
        <f aca="true" t="shared" si="1" ref="D25:D36">B25-C25</f>
        <v>2.790000000000001</v>
      </c>
    </row>
    <row r="26" spans="1:4" ht="12.75">
      <c r="A26" s="9" t="s">
        <v>13</v>
      </c>
      <c r="B26" s="8">
        <v>16.87</v>
      </c>
      <c r="C26" s="8">
        <v>14.08</v>
      </c>
      <c r="D26" s="8">
        <f t="shared" si="1"/>
        <v>2.790000000000001</v>
      </c>
    </row>
    <row r="27" spans="1:4" ht="12.75">
      <c r="A27" s="9" t="s">
        <v>14</v>
      </c>
      <c r="B27" s="8">
        <v>16.87</v>
      </c>
      <c r="C27" s="8">
        <v>14.08</v>
      </c>
      <c r="D27" s="8">
        <f t="shared" si="1"/>
        <v>2.790000000000001</v>
      </c>
    </row>
    <row r="28" spans="1:4" ht="12.75">
      <c r="A28" s="9" t="s">
        <v>15</v>
      </c>
      <c r="B28" s="8">
        <v>16.87</v>
      </c>
      <c r="C28" s="13">
        <v>44.45</v>
      </c>
      <c r="D28" s="8">
        <f t="shared" si="1"/>
        <v>-27.580000000000002</v>
      </c>
    </row>
    <row r="29" spans="1:4" ht="12.75">
      <c r="A29" s="9" t="s">
        <v>16</v>
      </c>
      <c r="B29" s="8">
        <v>16.87</v>
      </c>
      <c r="C29" s="13">
        <v>28.05</v>
      </c>
      <c r="D29" s="8">
        <f t="shared" si="1"/>
        <v>-11.18</v>
      </c>
    </row>
    <row r="30" spans="1:4" ht="12.75">
      <c r="A30" s="9" t="s">
        <v>17</v>
      </c>
      <c r="B30" s="8">
        <v>16.87</v>
      </c>
      <c r="C30" s="13">
        <v>29.29</v>
      </c>
      <c r="D30" s="8">
        <f t="shared" si="1"/>
        <v>-12.419999999999998</v>
      </c>
    </row>
    <row r="31" spans="1:4" ht="12.75">
      <c r="A31" s="9" t="s">
        <v>18</v>
      </c>
      <c r="B31" s="13">
        <v>13.35</v>
      </c>
      <c r="C31" s="13">
        <v>10.57</v>
      </c>
      <c r="D31" s="8">
        <f t="shared" si="1"/>
        <v>2.7799999999999994</v>
      </c>
    </row>
    <row r="32" spans="1:4" ht="12.75">
      <c r="A32" s="9" t="s">
        <v>19</v>
      </c>
      <c r="B32" s="13">
        <v>13.35</v>
      </c>
      <c r="C32" s="13">
        <v>20.81</v>
      </c>
      <c r="D32" s="8">
        <f t="shared" si="1"/>
        <v>-7.459999999999999</v>
      </c>
    </row>
    <row r="33" spans="1:4" ht="12.75">
      <c r="A33" s="9" t="s">
        <v>20</v>
      </c>
      <c r="B33" s="13">
        <v>13.35</v>
      </c>
      <c r="C33" s="13">
        <v>15.36</v>
      </c>
      <c r="D33" s="8">
        <f t="shared" si="1"/>
        <v>-2.01</v>
      </c>
    </row>
    <row r="34" spans="1:4" ht="12.75">
      <c r="A34" s="9" t="s">
        <v>21</v>
      </c>
      <c r="B34" s="13">
        <v>13.35</v>
      </c>
      <c r="C34" s="13">
        <v>13.33</v>
      </c>
      <c r="D34" s="13">
        <f t="shared" si="1"/>
        <v>0.019999999999999574</v>
      </c>
    </row>
    <row r="35" spans="1:4" ht="12.75">
      <c r="A35" s="9" t="s">
        <v>22</v>
      </c>
      <c r="B35" s="13">
        <v>13.35</v>
      </c>
      <c r="C35" s="13">
        <v>14.41</v>
      </c>
      <c r="D35" s="13">
        <f t="shared" si="1"/>
        <v>-1.0600000000000005</v>
      </c>
    </row>
    <row r="36" spans="1:4" ht="12.75">
      <c r="A36" s="9" t="s">
        <v>23</v>
      </c>
      <c r="B36" s="13">
        <v>13.35</v>
      </c>
      <c r="C36" s="13">
        <v>17.22</v>
      </c>
      <c r="D36" s="13">
        <f t="shared" si="1"/>
        <v>-3.869999999999999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>
        <v>0</v>
      </c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70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19</v>
      </c>
      <c r="B41" s="8"/>
      <c r="C41" s="8"/>
      <c r="D41" s="8">
        <f>B41-C41</f>
        <v>0</v>
      </c>
    </row>
    <row r="42" spans="1:4" ht="12.75" hidden="1">
      <c r="A42" s="9" t="s">
        <v>20</v>
      </c>
      <c r="B42" s="13"/>
      <c r="C42" s="13"/>
      <c r="D42" s="8">
        <f>B42-C42</f>
        <v>0</v>
      </c>
    </row>
    <row r="43" spans="1:4" ht="12.75" hidden="1">
      <c r="A43" s="9" t="s">
        <v>21</v>
      </c>
      <c r="B43" s="13"/>
      <c r="C43" s="13"/>
      <c r="D43" s="13">
        <f>B43-C43</f>
        <v>0</v>
      </c>
    </row>
    <row r="44" spans="1:4" ht="12.75" hidden="1">
      <c r="A44" s="9" t="s">
        <v>22</v>
      </c>
      <c r="B44" s="13"/>
      <c r="C44" s="13"/>
      <c r="D44" s="13">
        <f>B44-C44</f>
        <v>0</v>
      </c>
    </row>
    <row r="45" spans="1:4" ht="12.75" hidden="1">
      <c r="A45" s="9" t="s">
        <v>23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977641.5499999999</v>
      </c>
      <c r="C46" s="8">
        <f>C11+C24</f>
        <v>1039874.6</v>
      </c>
      <c r="D46" s="8">
        <f>D11+D24</f>
        <v>-62233.050000000076</v>
      </c>
    </row>
    <row r="48" spans="1:4" ht="12.75">
      <c r="A48" t="s">
        <v>27</v>
      </c>
      <c r="D48" s="12">
        <f>D46</f>
        <v>-62233.050000000076</v>
      </c>
    </row>
    <row r="50" spans="1:4" ht="13.5" customHeight="1">
      <c r="A50" s="11" t="s">
        <v>28</v>
      </c>
      <c r="D50" s="12">
        <f>D51+D52</f>
        <v>70388.196</v>
      </c>
    </row>
    <row r="51" spans="1:4" ht="12.75">
      <c r="A51" s="11" t="s">
        <v>29</v>
      </c>
      <c r="D51" s="12">
        <f>(1.33*4*D3)+(1.21*8*D3)</f>
        <v>59050.49999999999</v>
      </c>
    </row>
    <row r="52" spans="1:4" ht="12.75">
      <c r="A52" s="11" t="s">
        <v>30</v>
      </c>
      <c r="D52" s="12">
        <f>(0.24*12*D3)</f>
        <v>11337.696</v>
      </c>
    </row>
    <row r="53" spans="1:4" ht="12.75">
      <c r="A53" s="11" t="s">
        <v>31</v>
      </c>
      <c r="D53" s="12">
        <v>0</v>
      </c>
    </row>
    <row r="54" spans="1:4" ht="12.75">
      <c r="A54" s="11" t="s">
        <v>77</v>
      </c>
      <c r="D54" s="12">
        <f>1565*0.22*4+(1565*2.5)</f>
        <v>5289.7</v>
      </c>
    </row>
    <row r="55" spans="1:4" ht="12.75">
      <c r="A55" s="11" t="s">
        <v>80</v>
      </c>
      <c r="D55" s="12">
        <f>(2.66*4*D3)+(2.42*8*D3)</f>
        <v>118100.99999999999</v>
      </c>
    </row>
    <row r="56" spans="1:4" ht="12.75">
      <c r="A56" s="11" t="s">
        <v>32</v>
      </c>
      <c r="D56" s="12">
        <v>0</v>
      </c>
    </row>
    <row r="57" spans="1:4" ht="12.75">
      <c r="A57" s="11" t="s">
        <v>76</v>
      </c>
      <c r="D57" s="12">
        <f>(0.72*3*D3)</f>
        <v>8503.272</v>
      </c>
    </row>
    <row r="58" spans="1:4" ht="12.75">
      <c r="A58" s="11" t="s">
        <v>33</v>
      </c>
      <c r="D58" s="12">
        <f>(1.45*4*D3)+(1.32*8*D3)</f>
        <v>64404.412</v>
      </c>
    </row>
    <row r="59" spans="1:4" ht="12.75">
      <c r="A59" s="11" t="s">
        <v>34</v>
      </c>
      <c r="D59" s="12">
        <f>(5.11*4*D3)+(4.51*8*D3)</f>
        <v>222502.28399999999</v>
      </c>
    </row>
    <row r="60" spans="1:4" ht="12.75">
      <c r="A60" s="11" t="s">
        <v>35</v>
      </c>
      <c r="D60" s="12">
        <f>(0.29*4*D3)+(0.26*8*D3)</f>
        <v>12754.908</v>
      </c>
    </row>
    <row r="61" spans="1:4" ht="12.75">
      <c r="A61" s="11" t="s">
        <v>78</v>
      </c>
      <c r="D61" s="12">
        <f>(3.87*4*D3)+(3.52*8*D3)</f>
        <v>171797.588</v>
      </c>
    </row>
    <row r="62" spans="1:4" ht="12.75">
      <c r="A62" s="11" t="s">
        <v>36</v>
      </c>
      <c r="D62" s="12">
        <f>2.25*12*D4</f>
        <v>2376</v>
      </c>
    </row>
    <row r="63" spans="1:8" ht="12.75">
      <c r="A63" s="11" t="s">
        <v>37</v>
      </c>
      <c r="D63" s="12">
        <v>12852</v>
      </c>
      <c r="H63" s="22"/>
    </row>
    <row r="64" spans="1:8" ht="12.75">
      <c r="A64" s="11" t="s">
        <v>38</v>
      </c>
      <c r="D64" s="12">
        <f>(0.91*4*D3)+(0.83*8*D3)</f>
        <v>40469.276</v>
      </c>
      <c r="H64" s="22"/>
    </row>
    <row r="65" spans="1:4" ht="12.75">
      <c r="A65" s="14" t="s">
        <v>62</v>
      </c>
      <c r="D65" s="12">
        <v>0</v>
      </c>
    </row>
    <row r="66" spans="1:4" ht="12.75">
      <c r="A66" s="11"/>
      <c r="D66" s="12"/>
    </row>
    <row r="67" spans="1:4" ht="12.75">
      <c r="A67" s="11" t="s">
        <v>39</v>
      </c>
      <c r="D67" s="12">
        <f>D50+D53+D54+D55+D56+D57+D58+D59+D60+D61+D62+D63+D64</f>
        <v>729438.6359999998</v>
      </c>
    </row>
    <row r="68" spans="1:4" ht="12.75">
      <c r="A68" s="11"/>
      <c r="D68" s="12"/>
    </row>
    <row r="69" spans="1:4" ht="12.75">
      <c r="A69" t="s">
        <v>65</v>
      </c>
      <c r="D69" s="12">
        <f>C46-D67</f>
        <v>310435.96400000015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J72"/>
  <sheetViews>
    <sheetView zoomScalePageLayoutView="0" workbookViewId="0" topLeftCell="A1">
      <selection activeCell="G64" sqref="G64"/>
    </sheetView>
  </sheetViews>
  <sheetFormatPr defaultColWidth="9.140625" defaultRowHeight="12.75"/>
  <cols>
    <col min="1" max="1" width="15.8515625" style="0" customWidth="1"/>
    <col min="2" max="2" width="14.57421875" style="0" customWidth="1"/>
    <col min="3" max="3" width="14.00390625" style="0" customWidth="1"/>
    <col min="4" max="4" width="14.7109375" style="0" customWidth="1"/>
    <col min="10" max="10" width="12.57421875" style="0" customWidth="1"/>
  </cols>
  <sheetData>
    <row r="1" spans="1:7" ht="12.75">
      <c r="A1" s="1" t="s">
        <v>0</v>
      </c>
      <c r="B1" s="2" t="s">
        <v>1</v>
      </c>
      <c r="C1" s="1" t="s">
        <v>59</v>
      </c>
      <c r="D1" s="1"/>
      <c r="E1" s="1" t="s">
        <v>2</v>
      </c>
      <c r="F1" s="3">
        <v>6</v>
      </c>
      <c r="G1">
        <v>2016</v>
      </c>
    </row>
    <row r="3" spans="1:5" ht="12.75">
      <c r="A3" t="s">
        <v>3</v>
      </c>
      <c r="D3" s="4">
        <v>6097.6</v>
      </c>
      <c r="E3" s="5" t="s">
        <v>40</v>
      </c>
    </row>
    <row r="4" spans="1:5" ht="12.75">
      <c r="A4" t="s">
        <v>4</v>
      </c>
      <c r="D4" s="4">
        <v>110</v>
      </c>
      <c r="E4" s="5"/>
    </row>
    <row r="5" spans="1:5" ht="12.75">
      <c r="A5" t="s">
        <v>5</v>
      </c>
      <c r="D5" s="4">
        <v>262</v>
      </c>
      <c r="E5" s="5" t="s">
        <v>6</v>
      </c>
    </row>
    <row r="6" spans="1:5" ht="12.75">
      <c r="A6" t="s">
        <v>7</v>
      </c>
      <c r="D6" s="4">
        <v>1069.7</v>
      </c>
      <c r="E6" s="5" t="s">
        <v>40</v>
      </c>
    </row>
    <row r="7" spans="1:5" ht="12.75">
      <c r="A7" t="s">
        <v>8</v>
      </c>
      <c r="D7" s="4">
        <v>3926</v>
      </c>
      <c r="E7" s="5" t="s">
        <v>40</v>
      </c>
    </row>
    <row r="9" ht="12.75">
      <c r="G9" s="21"/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1736405.8900000001</v>
      </c>
      <c r="C11" s="8">
        <f>SUM(C12:C23)</f>
        <v>1721014.7</v>
      </c>
      <c r="D11" s="8">
        <f>SUM(D12:D23)</f>
        <v>15391.190000000002</v>
      </c>
    </row>
    <row r="12" spans="1:4" ht="12.75">
      <c r="A12" s="9" t="s">
        <v>25</v>
      </c>
      <c r="B12" s="8">
        <f>140576.1-5641.88</f>
        <v>134934.22</v>
      </c>
      <c r="C12" s="8">
        <v>129661.66</v>
      </c>
      <c r="D12" s="8">
        <f aca="true" t="shared" si="0" ref="D12:D23">B12-C12</f>
        <v>5272.559999999998</v>
      </c>
    </row>
    <row r="13" spans="1:4" ht="12.75">
      <c r="A13" s="9" t="s">
        <v>13</v>
      </c>
      <c r="B13" s="8">
        <v>140576.1</v>
      </c>
      <c r="C13" s="13">
        <v>135027.9</v>
      </c>
      <c r="D13" s="8">
        <f t="shared" si="0"/>
        <v>5548.200000000012</v>
      </c>
    </row>
    <row r="14" spans="1:4" ht="12.75">
      <c r="A14" s="9" t="s">
        <v>14</v>
      </c>
      <c r="B14" s="8">
        <v>140576.1</v>
      </c>
      <c r="C14" s="13">
        <v>167566.6</v>
      </c>
      <c r="D14" s="8">
        <f t="shared" si="0"/>
        <v>-26990.5</v>
      </c>
    </row>
    <row r="15" spans="1:4" ht="12.75">
      <c r="A15" s="9" t="s">
        <v>15</v>
      </c>
      <c r="B15" s="8">
        <v>140576.1</v>
      </c>
      <c r="C15" s="13">
        <v>132356.37</v>
      </c>
      <c r="D15" s="8">
        <f t="shared" si="0"/>
        <v>8219.73000000001</v>
      </c>
    </row>
    <row r="16" spans="1:4" ht="12.75">
      <c r="A16" s="9" t="s">
        <v>16</v>
      </c>
      <c r="B16" s="8">
        <v>140576.1</v>
      </c>
      <c r="C16" s="13">
        <v>139260.09</v>
      </c>
      <c r="D16" s="8">
        <f t="shared" si="0"/>
        <v>1316.0100000000093</v>
      </c>
    </row>
    <row r="17" spans="1:4" ht="12.75">
      <c r="A17" s="9" t="s">
        <v>17</v>
      </c>
      <c r="B17" s="8">
        <v>140576.1</v>
      </c>
      <c r="C17" s="13">
        <v>142835.21</v>
      </c>
      <c r="D17" s="8">
        <f t="shared" si="0"/>
        <v>-2259.109999999986</v>
      </c>
    </row>
    <row r="18" spans="1:4" ht="12.75">
      <c r="A18" s="9" t="s">
        <v>18</v>
      </c>
      <c r="B18" s="8">
        <v>140576.1</v>
      </c>
      <c r="C18" s="13">
        <v>136776.84</v>
      </c>
      <c r="D18" s="8">
        <f t="shared" si="0"/>
        <v>3799.2600000000093</v>
      </c>
    </row>
    <row r="19" spans="1:4" ht="12.75">
      <c r="A19" s="9" t="s">
        <v>19</v>
      </c>
      <c r="B19" s="8">
        <v>140576.1</v>
      </c>
      <c r="C19" s="13">
        <v>136776.84</v>
      </c>
      <c r="D19" s="8">
        <f t="shared" si="0"/>
        <v>3799.2600000000093</v>
      </c>
    </row>
    <row r="20" spans="1:4" ht="12.75">
      <c r="A20" s="9" t="s">
        <v>20</v>
      </c>
      <c r="B20" s="13">
        <v>154597.11</v>
      </c>
      <c r="C20" s="13">
        <v>155190.44</v>
      </c>
      <c r="D20" s="8">
        <f t="shared" si="0"/>
        <v>-593.3300000000163</v>
      </c>
    </row>
    <row r="21" spans="1:4" ht="12.75">
      <c r="A21" s="9" t="s">
        <v>21</v>
      </c>
      <c r="B21" s="13">
        <v>154280.62</v>
      </c>
      <c r="C21" s="13">
        <v>148708.45</v>
      </c>
      <c r="D21" s="13">
        <f t="shared" si="0"/>
        <v>5572.169999999984</v>
      </c>
    </row>
    <row r="22" spans="1:4" ht="12.75">
      <c r="A22" s="9" t="s">
        <v>22</v>
      </c>
      <c r="B22" s="13">
        <v>154280.62</v>
      </c>
      <c r="C22" s="13">
        <v>151386.1</v>
      </c>
      <c r="D22" s="13">
        <f t="shared" si="0"/>
        <v>2894.5199999999895</v>
      </c>
    </row>
    <row r="23" spans="1:4" ht="12.75">
      <c r="A23" s="9" t="s">
        <v>23</v>
      </c>
      <c r="B23" s="13">
        <v>154280.62</v>
      </c>
      <c r="C23" s="13">
        <v>145468.2</v>
      </c>
      <c r="D23" s="13">
        <f t="shared" si="0"/>
        <v>8812.419999999984</v>
      </c>
    </row>
    <row r="24" spans="1:4" ht="12.75">
      <c r="A24" s="7" t="s">
        <v>24</v>
      </c>
      <c r="B24" s="8">
        <f>SUM(B25:B36)</f>
        <v>335.17000000000013</v>
      </c>
      <c r="C24" s="8">
        <f>SUM(C25:C36)</f>
        <v>310.30999999999995</v>
      </c>
      <c r="D24" s="8">
        <f>SUM(D25:D36)</f>
        <v>24.860000000000017</v>
      </c>
    </row>
    <row r="25" spans="1:4" ht="12.75">
      <c r="A25" s="9" t="s">
        <v>25</v>
      </c>
      <c r="B25" s="8">
        <v>31.59</v>
      </c>
      <c r="C25" s="8">
        <v>15.79</v>
      </c>
      <c r="D25" s="8">
        <f aca="true" t="shared" si="1" ref="D25:D36">B25-C25</f>
        <v>15.8</v>
      </c>
    </row>
    <row r="26" spans="1:4" ht="12.75">
      <c r="A26" s="9" t="s">
        <v>13</v>
      </c>
      <c r="B26" s="8">
        <v>31.59</v>
      </c>
      <c r="C26" s="13">
        <v>79.36</v>
      </c>
      <c r="D26" s="8">
        <f t="shared" si="1"/>
        <v>-47.769999999999996</v>
      </c>
    </row>
    <row r="27" spans="1:4" ht="12.75">
      <c r="A27" s="9" t="s">
        <v>14</v>
      </c>
      <c r="B27" s="8">
        <v>27.46</v>
      </c>
      <c r="C27" s="13">
        <v>22.55</v>
      </c>
      <c r="D27" s="8">
        <f t="shared" si="1"/>
        <v>4.91</v>
      </c>
    </row>
    <row r="28" spans="1:4" ht="12.75">
      <c r="A28" s="9" t="s">
        <v>15</v>
      </c>
      <c r="B28" s="8">
        <v>27.17</v>
      </c>
      <c r="C28" s="13">
        <v>11.38</v>
      </c>
      <c r="D28" s="8">
        <f t="shared" si="1"/>
        <v>15.790000000000001</v>
      </c>
    </row>
    <row r="29" spans="1:4" ht="12.75">
      <c r="A29" s="9" t="s">
        <v>16</v>
      </c>
      <c r="B29" s="8">
        <v>27.17</v>
      </c>
      <c r="C29" s="13">
        <v>26.95</v>
      </c>
      <c r="D29" s="8">
        <f t="shared" si="1"/>
        <v>0.22000000000000242</v>
      </c>
    </row>
    <row r="30" spans="1:4" ht="12.75">
      <c r="A30" s="9" t="s">
        <v>17</v>
      </c>
      <c r="B30" s="8">
        <v>27.17</v>
      </c>
      <c r="C30" s="13">
        <v>17.63</v>
      </c>
      <c r="D30" s="8">
        <f t="shared" si="1"/>
        <v>9.540000000000003</v>
      </c>
    </row>
    <row r="31" spans="1:4" ht="12.75">
      <c r="A31" s="9" t="s">
        <v>18</v>
      </c>
      <c r="B31" s="8">
        <v>27.17</v>
      </c>
      <c r="C31" s="13">
        <v>15.75</v>
      </c>
      <c r="D31" s="8">
        <f t="shared" si="1"/>
        <v>11.420000000000002</v>
      </c>
    </row>
    <row r="32" spans="1:4" ht="12.75">
      <c r="A32" s="9" t="s">
        <v>19</v>
      </c>
      <c r="B32" s="8">
        <v>27.17</v>
      </c>
      <c r="C32" s="13">
        <v>36.85</v>
      </c>
      <c r="D32" s="8">
        <f t="shared" si="1"/>
        <v>-9.68</v>
      </c>
    </row>
    <row r="33" spans="1:4" ht="12.75">
      <c r="A33" s="9" t="s">
        <v>20</v>
      </c>
      <c r="B33" s="8">
        <v>27.17</v>
      </c>
      <c r="C33" s="13">
        <v>13.14</v>
      </c>
      <c r="D33" s="8">
        <f t="shared" si="1"/>
        <v>14.030000000000001</v>
      </c>
    </row>
    <row r="34" spans="1:4" ht="12.75">
      <c r="A34" s="9" t="s">
        <v>21</v>
      </c>
      <c r="B34" s="8">
        <v>27.17</v>
      </c>
      <c r="C34" s="13">
        <v>24.89</v>
      </c>
      <c r="D34" s="13">
        <f t="shared" si="1"/>
        <v>2.280000000000001</v>
      </c>
    </row>
    <row r="35" spans="1:4" ht="12.75">
      <c r="A35" s="9" t="s">
        <v>22</v>
      </c>
      <c r="B35" s="8">
        <v>27.17</v>
      </c>
      <c r="C35" s="13">
        <v>28.07</v>
      </c>
      <c r="D35" s="13">
        <f t="shared" si="1"/>
        <v>-0.8999999999999986</v>
      </c>
    </row>
    <row r="36" spans="1:4" ht="12.75">
      <c r="A36" s="9" t="s">
        <v>23</v>
      </c>
      <c r="B36" s="8">
        <v>27.17</v>
      </c>
      <c r="C36" s="13">
        <v>17.95</v>
      </c>
      <c r="D36" s="13">
        <f t="shared" si="1"/>
        <v>9.220000000000002</v>
      </c>
    </row>
    <row r="37" spans="1:4" ht="12.75">
      <c r="A37" s="9" t="s">
        <v>26</v>
      </c>
      <c r="B37" s="8">
        <f>B11+B24</f>
        <v>1736741.06</v>
      </c>
      <c r="C37" s="8">
        <f>C11+C24</f>
        <v>1721325.01</v>
      </c>
      <c r="D37" s="8">
        <f>D11+D24</f>
        <v>15416.050000000003</v>
      </c>
    </row>
    <row r="39" spans="1:4" ht="12.75">
      <c r="A39" t="s">
        <v>27</v>
      </c>
      <c r="D39" s="12">
        <f>D37</f>
        <v>15416.050000000003</v>
      </c>
    </row>
    <row r="41" spans="1:4" ht="12.75">
      <c r="A41" s="11" t="s">
        <v>28</v>
      </c>
      <c r="D41" s="12">
        <f>D42+D43</f>
        <v>109025.088</v>
      </c>
    </row>
    <row r="42" spans="1:4" ht="12.75" hidden="1">
      <c r="A42" s="11" t="s">
        <v>29</v>
      </c>
      <c r="D42" s="12">
        <f>(1.33*4*D3)+(1.21*8*D3)</f>
        <v>91464</v>
      </c>
    </row>
    <row r="43" spans="1:4" ht="12.75" hidden="1">
      <c r="A43" s="11" t="s">
        <v>30</v>
      </c>
      <c r="D43" s="12">
        <f>(0.24*12*D3)</f>
        <v>17561.088</v>
      </c>
    </row>
    <row r="44" spans="1:4" ht="12.75" hidden="1">
      <c r="A44" s="11" t="s">
        <v>31</v>
      </c>
      <c r="D44" s="12">
        <v>0</v>
      </c>
    </row>
    <row r="45" spans="1:10" ht="12.75">
      <c r="A45" s="11" t="s">
        <v>77</v>
      </c>
      <c r="D45" s="12">
        <f>1373*0.22*4+(1373*2.5)</f>
        <v>4640.74</v>
      </c>
      <c r="J45" s="12"/>
    </row>
    <row r="46" spans="1:4" ht="12.75">
      <c r="A46" s="11" t="s">
        <v>80</v>
      </c>
      <c r="D46" s="12">
        <f>(2.66*4*D3)+(2.42*8*D3)</f>
        <v>182928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13170.816000000003</v>
      </c>
    </row>
    <row r="49" spans="1:4" ht="12.75">
      <c r="A49" s="11" t="s">
        <v>33</v>
      </c>
      <c r="D49" s="12">
        <f>(1.45*4*D3)+(1.32*8*D3)</f>
        <v>99756.736</v>
      </c>
    </row>
    <row r="50" spans="1:4" ht="12.75">
      <c r="A50" s="11" t="s">
        <v>34</v>
      </c>
      <c r="D50" s="12">
        <f>(4.94*4*D3)+(4.51*8*D3)</f>
        <v>340489.984</v>
      </c>
    </row>
    <row r="51" spans="1:4" ht="12.75">
      <c r="A51" s="11" t="s">
        <v>35</v>
      </c>
      <c r="D51" s="12">
        <f>(0.29*4*D3)+(0.26*8*D3)</f>
        <v>19756.224000000002</v>
      </c>
    </row>
    <row r="52" spans="1:4" ht="12.75">
      <c r="A52" s="11" t="s">
        <v>78</v>
      </c>
      <c r="D52" s="12">
        <f>(3.87*4*D3)+(3.52*8*D3)</f>
        <v>266099.264</v>
      </c>
    </row>
    <row r="53" spans="1:4" ht="12.75">
      <c r="A53" s="11" t="s">
        <v>36</v>
      </c>
      <c r="D53" s="12">
        <f>2.25*12*D4</f>
        <v>2970</v>
      </c>
    </row>
    <row r="54" spans="1:4" ht="12.75">
      <c r="A54" s="11" t="s">
        <v>37</v>
      </c>
      <c r="D54" s="12">
        <v>362020</v>
      </c>
    </row>
    <row r="55" spans="1:4" ht="12.75">
      <c r="A55" s="11" t="s">
        <v>38</v>
      </c>
      <c r="D55" s="12">
        <f>(0.7*4*D3)+(0.64*8*D3)</f>
        <v>48292.992</v>
      </c>
    </row>
    <row r="56" spans="1:4" ht="12.75" hidden="1">
      <c r="A56" s="14" t="s">
        <v>62</v>
      </c>
      <c r="D56" s="12">
        <v>0</v>
      </c>
    </row>
    <row r="57" spans="1:4" ht="12.75">
      <c r="A57" s="11" t="s">
        <v>64</v>
      </c>
      <c r="D57" s="12">
        <f>(4.66*4*D3)+(4.24*8*D3)</f>
        <v>320489.856</v>
      </c>
    </row>
    <row r="58" spans="1:4" ht="12.75">
      <c r="A58" s="11"/>
      <c r="D58" s="12"/>
    </row>
    <row r="59" spans="1:4" ht="12.75">
      <c r="A59" s="11" t="s">
        <v>39</v>
      </c>
      <c r="D59" s="12">
        <f>D41+D44+D46+D47+D49+D50+D51+D52+D53+D54+D55+D56+D57-D56+D45+D48</f>
        <v>1769639.7000000004</v>
      </c>
    </row>
    <row r="60" spans="1:4" ht="12.75">
      <c r="A60" s="11"/>
      <c r="D60" s="12"/>
    </row>
    <row r="61" spans="1:4" ht="12.75">
      <c r="A61" t="s">
        <v>66</v>
      </c>
      <c r="D61" s="12">
        <f>C37-D59</f>
        <v>-48314.69000000041</v>
      </c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 hidden="1"/>
    <row r="71" ht="12.75" hidden="1"/>
    <row r="72" ht="12.75">
      <c r="H72" s="22"/>
    </row>
    <row r="73" ht="12.75" hidden="1"/>
    <row r="76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H91"/>
  <sheetViews>
    <sheetView zoomScalePageLayoutView="0" workbookViewId="0" topLeftCell="A1">
      <selection activeCell="H90" sqref="H90"/>
    </sheetView>
  </sheetViews>
  <sheetFormatPr defaultColWidth="9.140625" defaultRowHeight="12.75"/>
  <cols>
    <col min="1" max="1" width="14.8515625" style="0" customWidth="1"/>
    <col min="2" max="2" width="16.28125" style="0" customWidth="1"/>
    <col min="3" max="3" width="13.7109375" style="0" customWidth="1"/>
    <col min="4" max="4" width="15.57421875" style="0" customWidth="1"/>
  </cols>
  <sheetData>
    <row r="1" spans="1:7" ht="12.75">
      <c r="A1" s="1" t="s">
        <v>0</v>
      </c>
      <c r="B1" s="2" t="s">
        <v>1</v>
      </c>
      <c r="C1" s="1" t="s">
        <v>59</v>
      </c>
      <c r="D1" s="1"/>
      <c r="E1" s="1" t="s">
        <v>2</v>
      </c>
      <c r="F1" s="3" t="s">
        <v>60</v>
      </c>
      <c r="G1">
        <v>2016</v>
      </c>
    </row>
    <row r="3" spans="1:5" ht="12.75">
      <c r="A3" t="s">
        <v>3</v>
      </c>
      <c r="D3" s="4">
        <v>4169.1</v>
      </c>
      <c r="E3" s="5" t="s">
        <v>40</v>
      </c>
    </row>
    <row r="4" spans="1:5" ht="12.75">
      <c r="A4" t="s">
        <v>4</v>
      </c>
      <c r="D4" s="4">
        <v>72</v>
      </c>
      <c r="E4" s="5"/>
    </row>
    <row r="5" spans="1:5" ht="12.75">
      <c r="A5" t="s">
        <v>5</v>
      </c>
      <c r="D5" s="4">
        <v>150</v>
      </c>
      <c r="E5" s="5" t="s">
        <v>6</v>
      </c>
    </row>
    <row r="6" spans="1:5" ht="12.75">
      <c r="A6" t="s">
        <v>7</v>
      </c>
      <c r="D6" s="4">
        <v>713</v>
      </c>
      <c r="E6" s="5" t="s">
        <v>40</v>
      </c>
    </row>
    <row r="7" spans="1:5" ht="12.75">
      <c r="A7" t="s">
        <v>8</v>
      </c>
      <c r="D7" s="4">
        <v>764</v>
      </c>
      <c r="E7" s="5" t="s">
        <v>40</v>
      </c>
    </row>
    <row r="10" spans="2:4" ht="12" customHeight="1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1046314.8100000002</v>
      </c>
      <c r="C11" s="8">
        <f>SUM(C12:C23)</f>
        <v>1080597.71</v>
      </c>
      <c r="D11" s="8">
        <f>SUM(D12:D23)</f>
        <v>-34282.899999999965</v>
      </c>
    </row>
    <row r="12" spans="1:4" ht="12.75">
      <c r="A12" s="9" t="s">
        <v>25</v>
      </c>
      <c r="B12" s="8">
        <f>87384.3-1623.47</f>
        <v>85760.83</v>
      </c>
      <c r="C12" s="8">
        <v>101261.16</v>
      </c>
      <c r="D12" s="8">
        <f aca="true" t="shared" si="0" ref="D12:D23">B12-C12</f>
        <v>-15500.330000000002</v>
      </c>
    </row>
    <row r="13" spans="1:4" ht="12.75">
      <c r="A13" s="9" t="s">
        <v>13</v>
      </c>
      <c r="B13" s="8">
        <v>87384.3</v>
      </c>
      <c r="C13" s="13">
        <v>107863.25</v>
      </c>
      <c r="D13" s="8">
        <f t="shared" si="0"/>
        <v>-20478.949999999997</v>
      </c>
    </row>
    <row r="14" spans="1:4" ht="12.75">
      <c r="A14" s="9" t="s">
        <v>14</v>
      </c>
      <c r="B14" s="8">
        <v>87384.3</v>
      </c>
      <c r="C14" s="13">
        <v>83255.47</v>
      </c>
      <c r="D14" s="8">
        <f t="shared" si="0"/>
        <v>4128.830000000002</v>
      </c>
    </row>
    <row r="15" spans="1:4" ht="12.75">
      <c r="A15" s="9" t="s">
        <v>15</v>
      </c>
      <c r="B15" s="8">
        <v>87384.3</v>
      </c>
      <c r="C15" s="13">
        <v>85066.62</v>
      </c>
      <c r="D15" s="8">
        <f t="shared" si="0"/>
        <v>2317.6800000000076</v>
      </c>
    </row>
    <row r="16" spans="1:4" ht="12.75">
      <c r="A16" s="9" t="s">
        <v>16</v>
      </c>
      <c r="B16" s="8">
        <v>87384.3</v>
      </c>
      <c r="C16" s="13">
        <v>79799.06</v>
      </c>
      <c r="D16" s="8">
        <f t="shared" si="0"/>
        <v>7585.240000000005</v>
      </c>
    </row>
    <row r="17" spans="1:4" ht="12.75">
      <c r="A17" s="9" t="s">
        <v>17</v>
      </c>
      <c r="B17" s="8">
        <v>87384.3</v>
      </c>
      <c r="C17" s="13">
        <v>101853.58</v>
      </c>
      <c r="D17" s="8">
        <f t="shared" si="0"/>
        <v>-14469.279999999999</v>
      </c>
    </row>
    <row r="18" spans="1:4" ht="12.75">
      <c r="A18" s="9" t="s">
        <v>18</v>
      </c>
      <c r="B18" s="8">
        <v>87384.3</v>
      </c>
      <c r="C18" s="13">
        <v>78538.92</v>
      </c>
      <c r="D18" s="8">
        <f t="shared" si="0"/>
        <v>8845.380000000005</v>
      </c>
    </row>
    <row r="19" spans="1:4" ht="12.75">
      <c r="A19" s="9" t="s">
        <v>19</v>
      </c>
      <c r="B19" s="8">
        <v>87384.3</v>
      </c>
      <c r="C19" s="13">
        <v>99623.22</v>
      </c>
      <c r="D19" s="8">
        <f t="shared" si="0"/>
        <v>-12238.919999999998</v>
      </c>
    </row>
    <row r="20" spans="1:4" ht="12.75">
      <c r="A20" s="9" t="s">
        <v>20</v>
      </c>
      <c r="B20" s="8">
        <f>87384.3-673.32</f>
        <v>86710.98</v>
      </c>
      <c r="C20" s="13">
        <v>75830.21</v>
      </c>
      <c r="D20" s="8">
        <f t="shared" si="0"/>
        <v>10880.76999999999</v>
      </c>
    </row>
    <row r="21" spans="1:4" ht="12.75">
      <c r="A21" s="9" t="s">
        <v>21</v>
      </c>
      <c r="B21" s="8">
        <v>87384.3</v>
      </c>
      <c r="C21" s="13">
        <v>92416.4</v>
      </c>
      <c r="D21" s="13">
        <f t="shared" si="0"/>
        <v>-5032.099999999991</v>
      </c>
    </row>
    <row r="22" spans="1:4" ht="12.75">
      <c r="A22" s="9" t="s">
        <v>22</v>
      </c>
      <c r="B22" s="8">
        <v>87384.3</v>
      </c>
      <c r="C22" s="13">
        <v>83678.65</v>
      </c>
      <c r="D22" s="13">
        <f t="shared" si="0"/>
        <v>3705.6500000000087</v>
      </c>
    </row>
    <row r="23" spans="1:4" ht="12.75">
      <c r="A23" s="9" t="s">
        <v>23</v>
      </c>
      <c r="B23" s="8">
        <v>87384.3</v>
      </c>
      <c r="C23" s="13">
        <v>91411.17</v>
      </c>
      <c r="D23" s="13">
        <f t="shared" si="0"/>
        <v>-4026.8699999999953</v>
      </c>
    </row>
    <row r="24" spans="1:4" ht="12.75" hidden="1">
      <c r="A24" s="7" t="s">
        <v>24</v>
      </c>
      <c r="B24" s="8">
        <f>SUM(B25:B36)</f>
        <v>0</v>
      </c>
      <c r="C24" s="8">
        <f>SUM(C25:C36)</f>
        <v>0</v>
      </c>
      <c r="D24" s="8">
        <f>SUM(D25:D36)</f>
        <v>0</v>
      </c>
    </row>
    <row r="25" spans="1:4" ht="12.75" hidden="1">
      <c r="A25" s="9" t="s">
        <v>25</v>
      </c>
      <c r="B25" s="8"/>
      <c r="C25" s="8"/>
      <c r="D25" s="8">
        <f aca="true" t="shared" si="1" ref="D25:D36">B25-C25</f>
        <v>0</v>
      </c>
    </row>
    <row r="26" spans="1:4" ht="12.75" hidden="1">
      <c r="A26" s="9" t="s">
        <v>13</v>
      </c>
      <c r="B26" s="13"/>
      <c r="C26" s="13"/>
      <c r="D26" s="8">
        <f t="shared" si="1"/>
        <v>0</v>
      </c>
    </row>
    <row r="27" spans="1:4" ht="12.75" hidden="1">
      <c r="A27" s="9" t="s">
        <v>14</v>
      </c>
      <c r="B27" s="13"/>
      <c r="C27" s="13"/>
      <c r="D27" s="8">
        <f t="shared" si="1"/>
        <v>0</v>
      </c>
    </row>
    <row r="28" spans="1:4" ht="12.75" hidden="1">
      <c r="A28" s="9" t="s">
        <v>15</v>
      </c>
      <c r="B28" s="13"/>
      <c r="C28" s="13"/>
      <c r="D28" s="8">
        <f t="shared" si="1"/>
        <v>0</v>
      </c>
    </row>
    <row r="29" spans="1:4" ht="12.75" hidden="1">
      <c r="A29" s="9" t="s">
        <v>16</v>
      </c>
      <c r="B29" s="13"/>
      <c r="C29" s="13"/>
      <c r="D29" s="8">
        <f t="shared" si="1"/>
        <v>0</v>
      </c>
    </row>
    <row r="30" spans="1:4" ht="12.75" hidden="1">
      <c r="A30" s="9" t="s">
        <v>17</v>
      </c>
      <c r="B30" s="13"/>
      <c r="C30" s="13"/>
      <c r="D30" s="8">
        <f t="shared" si="1"/>
        <v>0</v>
      </c>
    </row>
    <row r="31" spans="1:4" ht="12.75" hidden="1">
      <c r="A31" s="9" t="s">
        <v>18</v>
      </c>
      <c r="B31" s="13"/>
      <c r="C31" s="13"/>
      <c r="D31" s="8">
        <f t="shared" si="1"/>
        <v>0</v>
      </c>
    </row>
    <row r="32" spans="1:4" ht="12.75" hidden="1">
      <c r="A32" s="9" t="s">
        <v>19</v>
      </c>
      <c r="B32" s="13"/>
      <c r="C32" s="13"/>
      <c r="D32" s="8">
        <f t="shared" si="1"/>
        <v>0</v>
      </c>
    </row>
    <row r="33" spans="1:4" ht="12.75" hidden="1">
      <c r="A33" s="9" t="s">
        <v>20</v>
      </c>
      <c r="B33" s="13"/>
      <c r="C33" s="13"/>
      <c r="D33" s="8">
        <f t="shared" si="1"/>
        <v>0</v>
      </c>
    </row>
    <row r="34" spans="1:4" ht="12.75" hidden="1">
      <c r="A34" s="9" t="s">
        <v>21</v>
      </c>
      <c r="B34" s="13"/>
      <c r="C34" s="13"/>
      <c r="D34" s="13">
        <f t="shared" si="1"/>
        <v>0</v>
      </c>
    </row>
    <row r="35" spans="1:4" ht="12.75" hidden="1">
      <c r="A35" s="9" t="s">
        <v>22</v>
      </c>
      <c r="B35" s="13"/>
      <c r="C35" s="13"/>
      <c r="D35" s="13">
        <f t="shared" si="1"/>
        <v>0</v>
      </c>
    </row>
    <row r="36" spans="1:4" ht="12.75" hidden="1">
      <c r="A36" s="9" t="s">
        <v>23</v>
      </c>
      <c r="B36" s="10"/>
      <c r="C36" s="10"/>
      <c r="D36" s="13">
        <f t="shared" si="1"/>
        <v>0</v>
      </c>
    </row>
    <row r="37" spans="1:4" ht="12.75" hidden="1">
      <c r="A37" s="7" t="s">
        <v>81</v>
      </c>
      <c r="B37" s="13">
        <f>SUM(B38:B47)</f>
        <v>0</v>
      </c>
      <c r="C37" s="13">
        <f>SUM(C38:C47)</f>
        <v>0</v>
      </c>
      <c r="D37" s="13">
        <f>SUM(D38:D47)</f>
        <v>0</v>
      </c>
    </row>
    <row r="38" spans="1:4" ht="12.75" hidden="1">
      <c r="A38" s="9" t="s">
        <v>73</v>
      </c>
      <c r="B38" s="13"/>
      <c r="C38" s="13"/>
      <c r="D38" s="13">
        <f aca="true" t="shared" si="2" ref="D38:D46">B38-C38</f>
        <v>0</v>
      </c>
    </row>
    <row r="39" spans="1:4" ht="12.75" hidden="1">
      <c r="A39" s="9" t="s">
        <v>15</v>
      </c>
      <c r="B39" s="13"/>
      <c r="C39" s="13"/>
      <c r="D39" s="13">
        <f t="shared" si="2"/>
        <v>0</v>
      </c>
    </row>
    <row r="40" spans="1:4" ht="12.75" hidden="1">
      <c r="A40" s="9" t="s">
        <v>16</v>
      </c>
      <c r="B40" s="13"/>
      <c r="C40" s="13"/>
      <c r="D40" s="13">
        <f t="shared" si="2"/>
        <v>0</v>
      </c>
    </row>
    <row r="41" spans="1:4" ht="12.75" hidden="1">
      <c r="A41" s="9" t="s">
        <v>17</v>
      </c>
      <c r="B41" s="13"/>
      <c r="C41" s="13"/>
      <c r="D41" s="13">
        <f t="shared" si="2"/>
        <v>0</v>
      </c>
    </row>
    <row r="42" spans="1:4" ht="12.75" hidden="1">
      <c r="A42" s="9" t="s">
        <v>18</v>
      </c>
      <c r="B42" s="13"/>
      <c r="C42" s="13"/>
      <c r="D42" s="13">
        <f t="shared" si="2"/>
        <v>0</v>
      </c>
    </row>
    <row r="43" spans="1:4" ht="12.75" hidden="1">
      <c r="A43" s="9" t="s">
        <v>19</v>
      </c>
      <c r="B43" s="13"/>
      <c r="C43" s="13"/>
      <c r="D43" s="13">
        <f t="shared" si="2"/>
        <v>0</v>
      </c>
    </row>
    <row r="44" spans="1:4" ht="12.75" hidden="1">
      <c r="A44" s="9" t="s">
        <v>20</v>
      </c>
      <c r="B44" s="13"/>
      <c r="C44" s="13"/>
      <c r="D44" s="13">
        <f t="shared" si="2"/>
        <v>0</v>
      </c>
    </row>
    <row r="45" spans="1:4" ht="12.75" hidden="1">
      <c r="A45" s="9" t="s">
        <v>21</v>
      </c>
      <c r="B45" s="13"/>
      <c r="C45" s="13"/>
      <c r="D45" s="13">
        <f t="shared" si="2"/>
        <v>0</v>
      </c>
    </row>
    <row r="46" spans="1:4" ht="12.75" hidden="1">
      <c r="A46" s="9" t="s">
        <v>22</v>
      </c>
      <c r="B46" s="13"/>
      <c r="C46" s="13"/>
      <c r="D46" s="13">
        <f t="shared" si="2"/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 hidden="1">
      <c r="A48" s="7" t="s">
        <v>70</v>
      </c>
      <c r="B48" s="8">
        <f>SUM(B49:B60)</f>
        <v>0</v>
      </c>
      <c r="C48" s="8">
        <f>SUM(C49:C60)</f>
        <v>0</v>
      </c>
      <c r="D48" s="8">
        <f>SUM(D49:D60)</f>
        <v>0</v>
      </c>
    </row>
    <row r="49" spans="1:4" ht="12.75" hidden="1">
      <c r="A49" s="9" t="s">
        <v>25</v>
      </c>
      <c r="B49" s="8">
        <v>0</v>
      </c>
      <c r="C49" s="8"/>
      <c r="D49" s="8">
        <f aca="true" t="shared" si="3" ref="D49:D55">B49-C49</f>
        <v>0</v>
      </c>
    </row>
    <row r="50" spans="1:4" ht="12.75" hidden="1">
      <c r="A50" s="9" t="s">
        <v>13</v>
      </c>
      <c r="B50" s="13"/>
      <c r="C50" s="13"/>
      <c r="D50" s="8">
        <f t="shared" si="3"/>
        <v>0</v>
      </c>
    </row>
    <row r="51" spans="1:4" ht="12.75" hidden="1">
      <c r="A51" s="9" t="s">
        <v>14</v>
      </c>
      <c r="B51" s="13"/>
      <c r="C51" s="13"/>
      <c r="D51" s="8">
        <f t="shared" si="3"/>
        <v>0</v>
      </c>
    </row>
    <row r="52" spans="1:4" ht="12.75" hidden="1">
      <c r="A52" s="9" t="s">
        <v>15</v>
      </c>
      <c r="B52" s="13"/>
      <c r="C52" s="13"/>
      <c r="D52" s="8">
        <f t="shared" si="3"/>
        <v>0</v>
      </c>
    </row>
    <row r="53" spans="1:4" ht="12.75" hidden="1">
      <c r="A53" s="9" t="s">
        <v>16</v>
      </c>
      <c r="B53" s="13"/>
      <c r="C53" s="13"/>
      <c r="D53" s="8">
        <f t="shared" si="3"/>
        <v>0</v>
      </c>
    </row>
    <row r="54" spans="1:4" ht="12.75" hidden="1">
      <c r="A54" s="9" t="s">
        <v>17</v>
      </c>
      <c r="B54" s="13"/>
      <c r="C54" s="13"/>
      <c r="D54" s="8">
        <f t="shared" si="3"/>
        <v>0</v>
      </c>
    </row>
    <row r="55" spans="1:4" ht="12.75" hidden="1">
      <c r="A55" s="9" t="s">
        <v>18</v>
      </c>
      <c r="B55" s="13"/>
      <c r="C55" s="13"/>
      <c r="D55" s="8">
        <f t="shared" si="3"/>
        <v>0</v>
      </c>
    </row>
    <row r="56" spans="1:4" ht="12.75" hidden="1">
      <c r="A56" s="9" t="s">
        <v>19</v>
      </c>
      <c r="B56" s="8"/>
      <c r="C56" s="8"/>
      <c r="D56" s="8">
        <f>B56-C56</f>
        <v>0</v>
      </c>
    </row>
    <row r="57" spans="1:4" ht="12.75" hidden="1">
      <c r="A57" s="9" t="s">
        <v>20</v>
      </c>
      <c r="B57" s="13"/>
      <c r="C57" s="13"/>
      <c r="D57" s="8">
        <f>B57-C57</f>
        <v>0</v>
      </c>
    </row>
    <row r="58" spans="1:4" ht="12.75" hidden="1">
      <c r="A58" s="9" t="s">
        <v>21</v>
      </c>
      <c r="B58" s="13"/>
      <c r="C58" s="13"/>
      <c r="D58" s="13">
        <f>B58-C58</f>
        <v>0</v>
      </c>
    </row>
    <row r="59" spans="1:4" ht="12.75" hidden="1">
      <c r="A59" s="9" t="s">
        <v>22</v>
      </c>
      <c r="B59" s="13"/>
      <c r="C59" s="13"/>
      <c r="D59" s="13">
        <f>B59-C59</f>
        <v>0</v>
      </c>
    </row>
    <row r="60" spans="1:4" ht="12.75" hidden="1">
      <c r="A60" s="9" t="s">
        <v>23</v>
      </c>
      <c r="B60" s="13"/>
      <c r="C60" s="13"/>
      <c r="D60" s="13">
        <f>B60-C60</f>
        <v>0</v>
      </c>
    </row>
    <row r="61" spans="1:4" ht="12.75">
      <c r="A61" s="9" t="s">
        <v>26</v>
      </c>
      <c r="B61" s="8">
        <f>B11+B24</f>
        <v>1046314.8100000002</v>
      </c>
      <c r="C61" s="8">
        <f>C11+C24</f>
        <v>1080597.71</v>
      </c>
      <c r="D61" s="8">
        <f>D11+D24</f>
        <v>-34282.899999999965</v>
      </c>
    </row>
    <row r="63" spans="1:4" ht="12.75">
      <c r="A63" t="s">
        <v>27</v>
      </c>
      <c r="D63" s="12">
        <f>D61</f>
        <v>-34282.899999999965</v>
      </c>
    </row>
    <row r="65" spans="1:4" ht="12.75">
      <c r="A65" s="11" t="s">
        <v>28</v>
      </c>
      <c r="D65" s="12">
        <f>D66+D67</f>
        <v>74543.508</v>
      </c>
    </row>
    <row r="66" spans="1:4" ht="12.75" hidden="1">
      <c r="A66" s="11" t="s">
        <v>29</v>
      </c>
      <c r="D66" s="12">
        <f>(1.33*4*D3)+(1.21*8*D3)</f>
        <v>62536.5</v>
      </c>
    </row>
    <row r="67" spans="1:4" ht="12.75" hidden="1">
      <c r="A67" s="11" t="s">
        <v>30</v>
      </c>
      <c r="D67" s="12">
        <f>(0.24*12*D3)</f>
        <v>12007.008</v>
      </c>
    </row>
    <row r="68" spans="1:4" ht="12.75" hidden="1">
      <c r="A68" s="11" t="s">
        <v>31</v>
      </c>
      <c r="D68" s="12">
        <v>0</v>
      </c>
    </row>
    <row r="69" spans="1:4" ht="12.75">
      <c r="A69" s="11" t="s">
        <v>77</v>
      </c>
      <c r="D69" s="12">
        <f>936*0.22*4+(936*2.5)</f>
        <v>3163.68</v>
      </c>
    </row>
    <row r="70" spans="1:4" ht="12.75">
      <c r="A70" s="11" t="s">
        <v>80</v>
      </c>
      <c r="D70" s="12">
        <f>(2.66*4*D3)+(2.42*8*D3)</f>
        <v>125073</v>
      </c>
    </row>
    <row r="71" spans="1:4" ht="12.75" hidden="1">
      <c r="A71" s="11" t="s">
        <v>32</v>
      </c>
      <c r="D71" s="12">
        <v>0</v>
      </c>
    </row>
    <row r="72" spans="1:4" ht="12.75">
      <c r="A72" s="11" t="s">
        <v>76</v>
      </c>
      <c r="D72" s="12">
        <f>(0.72*3*D3)</f>
        <v>9005.256000000001</v>
      </c>
    </row>
    <row r="73" spans="1:4" ht="12.75">
      <c r="A73" s="11" t="s">
        <v>33</v>
      </c>
      <c r="D73" s="12">
        <f>(1.45*4*D3)+(1.32*8*D3)</f>
        <v>68206.47600000001</v>
      </c>
    </row>
    <row r="74" spans="1:4" ht="12.75">
      <c r="A74" s="11" t="s">
        <v>34</v>
      </c>
      <c r="D74" s="12">
        <f>(4.94*4*D3)+(4.51*8*D3)</f>
        <v>232802.544</v>
      </c>
    </row>
    <row r="75" spans="1:4" ht="12.75">
      <c r="A75" s="11" t="s">
        <v>35</v>
      </c>
      <c r="D75" s="12">
        <f>(0.29*4*D3)+(0.26*8*D3)</f>
        <v>13507.884000000002</v>
      </c>
    </row>
    <row r="76" spans="1:4" ht="12.75">
      <c r="A76" s="11" t="s">
        <v>78</v>
      </c>
      <c r="D76" s="12">
        <f>(3.87*4*D3)+(3.52*8*D3)</f>
        <v>181939.52400000003</v>
      </c>
    </row>
    <row r="77" spans="1:4" ht="12.75">
      <c r="A77" s="11" t="s">
        <v>36</v>
      </c>
      <c r="D77" s="12">
        <f>2.25*12*D4</f>
        <v>1944</v>
      </c>
    </row>
    <row r="78" spans="1:4" ht="12.75">
      <c r="A78" s="11" t="s">
        <v>37</v>
      </c>
      <c r="D78" s="12">
        <v>145253</v>
      </c>
    </row>
    <row r="79" spans="1:4" ht="12.75">
      <c r="A79" s="11" t="s">
        <v>38</v>
      </c>
      <c r="D79" s="12">
        <f>(0.7*4*D3)+(0.64*8*D3)</f>
        <v>33019.272</v>
      </c>
    </row>
    <row r="80" spans="1:4" ht="12.75" hidden="1">
      <c r="A80" s="14" t="s">
        <v>62</v>
      </c>
      <c r="D80" s="12">
        <v>0</v>
      </c>
    </row>
    <row r="81" spans="1:4" ht="12.75">
      <c r="A81" s="11" t="s">
        <v>64</v>
      </c>
      <c r="D81" s="12">
        <f>(4.66*4*D3)+(4.24*8*D3)</f>
        <v>219127.89600000004</v>
      </c>
    </row>
    <row r="82" spans="1:4" ht="12.75">
      <c r="A82" s="11"/>
      <c r="D82" s="12"/>
    </row>
    <row r="83" spans="1:4" ht="12.75">
      <c r="A83" s="11" t="s">
        <v>39</v>
      </c>
      <c r="D83" s="12">
        <f>D65+D68+D70+D71+D73+D74+D75+D76+D77+D78+D79+D80+D81-D80+D69+D72</f>
        <v>1107586.04</v>
      </c>
    </row>
    <row r="84" spans="1:4" ht="12.75">
      <c r="A84" s="11"/>
      <c r="D84" s="12"/>
    </row>
    <row r="85" spans="1:4" ht="12.75">
      <c r="A85" t="s">
        <v>66</v>
      </c>
      <c r="D85" s="12">
        <f>C61-D83</f>
        <v>-26988.330000000075</v>
      </c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</sheetData>
  <sheetProtection/>
  <printOptions/>
  <pageMargins left="0.7480314960629921" right="0.7480314960629921" top="0.1968503937007874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77"/>
  <sheetViews>
    <sheetView zoomScalePageLayoutView="0" workbookViewId="0" topLeftCell="A1">
      <selection activeCell="H81" sqref="H81"/>
    </sheetView>
  </sheetViews>
  <sheetFormatPr defaultColWidth="9.140625" defaultRowHeight="12.75"/>
  <cols>
    <col min="1" max="1" width="14.421875" style="0" customWidth="1"/>
    <col min="2" max="2" width="14.28125" style="0" customWidth="1"/>
    <col min="3" max="3" width="14.140625" style="0" customWidth="1"/>
    <col min="4" max="4" width="13.7109375" style="0" customWidth="1"/>
  </cols>
  <sheetData>
    <row r="1" spans="1:7" ht="12.75">
      <c r="A1" s="1" t="s">
        <v>0</v>
      </c>
      <c r="B1" s="2" t="s">
        <v>1</v>
      </c>
      <c r="C1" s="1" t="s">
        <v>61</v>
      </c>
      <c r="D1" s="1"/>
      <c r="E1" s="1" t="s">
        <v>2</v>
      </c>
      <c r="F1" s="3">
        <v>5</v>
      </c>
      <c r="G1">
        <v>2016</v>
      </c>
    </row>
    <row r="3" spans="1:5" ht="12.75">
      <c r="A3" t="s">
        <v>3</v>
      </c>
      <c r="D3" s="4">
        <v>4232.4</v>
      </c>
      <c r="E3" s="5" t="s">
        <v>40</v>
      </c>
    </row>
    <row r="4" spans="1:5" ht="12.75">
      <c r="A4" t="s">
        <v>4</v>
      </c>
      <c r="D4" s="4">
        <v>72</v>
      </c>
      <c r="E4" s="5"/>
    </row>
    <row r="5" spans="1:5" ht="12.75">
      <c r="A5" t="s">
        <v>5</v>
      </c>
      <c r="D5" s="4">
        <v>159</v>
      </c>
      <c r="E5" s="5" t="s">
        <v>6</v>
      </c>
    </row>
    <row r="6" spans="1:5" ht="12.75">
      <c r="A6" t="s">
        <v>7</v>
      </c>
      <c r="C6" t="s">
        <v>68</v>
      </c>
      <c r="D6" s="4">
        <v>494.4</v>
      </c>
      <c r="E6" s="5" t="s">
        <v>40</v>
      </c>
    </row>
    <row r="7" spans="1:5" ht="12.75">
      <c r="A7" t="s">
        <v>8</v>
      </c>
      <c r="D7" s="4">
        <v>2299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1170850.24</v>
      </c>
      <c r="C11" s="8">
        <f>SUM(C12:C23)</f>
        <v>1177716.51</v>
      </c>
      <c r="D11" s="8">
        <f>SUM(D12:D23)</f>
        <v>-6866.270000000091</v>
      </c>
    </row>
    <row r="12" spans="1:4" ht="12.75" customHeight="1">
      <c r="A12" s="9" t="s">
        <v>25</v>
      </c>
      <c r="B12" s="8">
        <f>97598.98-337.52</f>
        <v>97261.45999999999</v>
      </c>
      <c r="C12" s="8">
        <v>103737.02</v>
      </c>
      <c r="D12" s="8">
        <f aca="true" t="shared" si="0" ref="D12:D23">B12-C12</f>
        <v>-6475.560000000012</v>
      </c>
    </row>
    <row r="13" spans="1:4" ht="12.75" customHeight="1">
      <c r="A13" s="9" t="s">
        <v>13</v>
      </c>
      <c r="B13" s="8">
        <v>97598.98</v>
      </c>
      <c r="C13" s="13">
        <v>109223.86</v>
      </c>
      <c r="D13" s="8">
        <f t="shared" si="0"/>
        <v>-11624.880000000005</v>
      </c>
    </row>
    <row r="14" spans="1:4" ht="12.75" customHeight="1">
      <c r="A14" s="9" t="s">
        <v>14</v>
      </c>
      <c r="B14" s="8">
        <v>97598.98</v>
      </c>
      <c r="C14" s="13">
        <v>95849.52</v>
      </c>
      <c r="D14" s="8">
        <f t="shared" si="0"/>
        <v>1749.4599999999919</v>
      </c>
    </row>
    <row r="15" spans="1:4" ht="12.75" customHeight="1">
      <c r="A15" s="9" t="s">
        <v>15</v>
      </c>
      <c r="B15" s="8">
        <v>97598.98</v>
      </c>
      <c r="C15" s="13">
        <v>102470.72</v>
      </c>
      <c r="D15" s="8">
        <f t="shared" si="0"/>
        <v>-4871.740000000005</v>
      </c>
    </row>
    <row r="16" spans="1:4" ht="12.75" customHeight="1">
      <c r="A16" s="9" t="s">
        <v>16</v>
      </c>
      <c r="B16" s="8">
        <v>97598.98</v>
      </c>
      <c r="C16" s="13">
        <v>97146.82</v>
      </c>
      <c r="D16" s="8">
        <f t="shared" si="0"/>
        <v>452.15999999998894</v>
      </c>
    </row>
    <row r="17" spans="1:4" ht="12.75" customHeight="1">
      <c r="A17" s="9" t="s">
        <v>17</v>
      </c>
      <c r="B17" s="8">
        <v>97598.98</v>
      </c>
      <c r="C17" s="13">
        <v>94796.05</v>
      </c>
      <c r="D17" s="8">
        <f t="shared" si="0"/>
        <v>2802.929999999993</v>
      </c>
    </row>
    <row r="18" spans="1:4" ht="12.75" customHeight="1">
      <c r="A18" s="9" t="s">
        <v>18</v>
      </c>
      <c r="B18" s="8">
        <v>97598.98</v>
      </c>
      <c r="C18" s="13">
        <v>92801.63</v>
      </c>
      <c r="D18" s="8">
        <f t="shared" si="0"/>
        <v>4797.349999999991</v>
      </c>
    </row>
    <row r="19" spans="1:4" ht="12.75" customHeight="1">
      <c r="A19" s="9" t="s">
        <v>19</v>
      </c>
      <c r="B19" s="8">
        <v>97598.98</v>
      </c>
      <c r="C19" s="13">
        <v>90481.74</v>
      </c>
      <c r="D19" s="8">
        <f t="shared" si="0"/>
        <v>7117.239999999991</v>
      </c>
    </row>
    <row r="20" spans="1:4" ht="12.75" customHeight="1">
      <c r="A20" s="9" t="s">
        <v>20</v>
      </c>
      <c r="B20" s="8">
        <v>97598.98</v>
      </c>
      <c r="C20" s="13">
        <v>95888.25</v>
      </c>
      <c r="D20" s="8">
        <f t="shared" si="0"/>
        <v>1710.729999999996</v>
      </c>
    </row>
    <row r="21" spans="1:4" ht="12.75" customHeight="1">
      <c r="A21" s="9" t="s">
        <v>21</v>
      </c>
      <c r="B21" s="8">
        <v>97598.98</v>
      </c>
      <c r="C21" s="13">
        <v>102986.47</v>
      </c>
      <c r="D21" s="13">
        <f t="shared" si="0"/>
        <v>-5387.490000000005</v>
      </c>
    </row>
    <row r="22" spans="1:4" ht="12.75" customHeight="1">
      <c r="A22" s="9" t="s">
        <v>22</v>
      </c>
      <c r="B22" s="8">
        <v>97598.98</v>
      </c>
      <c r="C22" s="13">
        <v>94512.46</v>
      </c>
      <c r="D22" s="13">
        <f t="shared" si="0"/>
        <v>3086.5199999999895</v>
      </c>
    </row>
    <row r="23" spans="1:4" ht="12.75" customHeight="1">
      <c r="A23" s="9" t="s">
        <v>23</v>
      </c>
      <c r="B23" s="8">
        <v>97598.98</v>
      </c>
      <c r="C23" s="13">
        <v>97821.97</v>
      </c>
      <c r="D23" s="13">
        <f t="shared" si="0"/>
        <v>-222.99000000000524</v>
      </c>
    </row>
    <row r="24" spans="1:4" ht="12.75" customHeight="1" hidden="1">
      <c r="A24" s="7" t="s">
        <v>24</v>
      </c>
      <c r="B24" s="8">
        <f>SUM(B25:B36)</f>
        <v>0</v>
      </c>
      <c r="C24" s="8">
        <f>SUM(C25:C36)</f>
        <v>0</v>
      </c>
      <c r="D24" s="8">
        <f>SUM(D25:D36)</f>
        <v>0</v>
      </c>
    </row>
    <row r="25" spans="1:4" ht="12.75" customHeight="1" hidden="1">
      <c r="A25" s="9" t="s">
        <v>25</v>
      </c>
      <c r="B25" s="8"/>
      <c r="C25" s="8"/>
      <c r="D25" s="8">
        <f aca="true" t="shared" si="1" ref="D25:D36">B25-C25</f>
        <v>0</v>
      </c>
    </row>
    <row r="26" spans="1:4" ht="12.75" customHeight="1" hidden="1">
      <c r="A26" s="9" t="s">
        <v>13</v>
      </c>
      <c r="B26" s="13"/>
      <c r="C26" s="13"/>
      <c r="D26" s="8">
        <f t="shared" si="1"/>
        <v>0</v>
      </c>
    </row>
    <row r="27" spans="1:4" ht="12.75" customHeight="1" hidden="1">
      <c r="A27" s="9" t="s">
        <v>14</v>
      </c>
      <c r="B27" s="13"/>
      <c r="C27" s="13"/>
      <c r="D27" s="8">
        <f t="shared" si="1"/>
        <v>0</v>
      </c>
    </row>
    <row r="28" spans="1:4" ht="12.75" customHeight="1" hidden="1">
      <c r="A28" s="9" t="s">
        <v>15</v>
      </c>
      <c r="B28" s="13"/>
      <c r="C28" s="13"/>
      <c r="D28" s="8">
        <f t="shared" si="1"/>
        <v>0</v>
      </c>
    </row>
    <row r="29" spans="1:4" ht="12.75" customHeight="1" hidden="1">
      <c r="A29" s="9" t="s">
        <v>16</v>
      </c>
      <c r="B29" s="13"/>
      <c r="C29" s="13"/>
      <c r="D29" s="8">
        <f t="shared" si="1"/>
        <v>0</v>
      </c>
    </row>
    <row r="30" spans="1:4" ht="12.75" customHeight="1" hidden="1">
      <c r="A30" s="9" t="s">
        <v>17</v>
      </c>
      <c r="B30" s="13"/>
      <c r="C30" s="13"/>
      <c r="D30" s="8">
        <f t="shared" si="1"/>
        <v>0</v>
      </c>
    </row>
    <row r="31" spans="1:4" ht="12.75" customHeight="1" hidden="1">
      <c r="A31" s="9" t="s">
        <v>18</v>
      </c>
      <c r="B31" s="13"/>
      <c r="C31" s="13"/>
      <c r="D31" s="8">
        <f t="shared" si="1"/>
        <v>0</v>
      </c>
    </row>
    <row r="32" spans="1:4" ht="12.75" customHeight="1" hidden="1">
      <c r="A32" s="9" t="s">
        <v>19</v>
      </c>
      <c r="B32" s="13"/>
      <c r="C32" s="13"/>
      <c r="D32" s="8">
        <f t="shared" si="1"/>
        <v>0</v>
      </c>
    </row>
    <row r="33" spans="1:4" ht="12.75" customHeight="1" hidden="1">
      <c r="A33" s="9" t="s">
        <v>20</v>
      </c>
      <c r="B33" s="13"/>
      <c r="C33" s="13"/>
      <c r="D33" s="8">
        <f t="shared" si="1"/>
        <v>0</v>
      </c>
    </row>
    <row r="34" spans="1:4" ht="12.75" customHeight="1" hidden="1">
      <c r="A34" s="9" t="s">
        <v>21</v>
      </c>
      <c r="B34" s="13"/>
      <c r="C34" s="13"/>
      <c r="D34" s="13">
        <f t="shared" si="1"/>
        <v>0</v>
      </c>
    </row>
    <row r="35" spans="1:4" ht="12.75" customHeight="1" hidden="1">
      <c r="A35" s="9" t="s">
        <v>22</v>
      </c>
      <c r="B35" s="13"/>
      <c r="C35" s="13"/>
      <c r="D35" s="13">
        <f t="shared" si="1"/>
        <v>0</v>
      </c>
    </row>
    <row r="36" spans="1:4" ht="12.75" customHeight="1" hidden="1">
      <c r="A36" s="9" t="s">
        <v>23</v>
      </c>
      <c r="B36" s="10"/>
      <c r="C36" s="10"/>
      <c r="D36" s="13">
        <f t="shared" si="1"/>
        <v>0</v>
      </c>
    </row>
    <row r="37" spans="1:4" ht="12.75" customHeight="1" hidden="1">
      <c r="A37" s="7"/>
      <c r="B37" s="13"/>
      <c r="C37" s="13"/>
      <c r="D37" s="13">
        <f>SUM(D38:D39)</f>
        <v>0</v>
      </c>
    </row>
    <row r="38" spans="1:4" ht="12.75" customHeight="1" hidden="1">
      <c r="A38" s="9"/>
      <c r="B38" s="13"/>
      <c r="C38" s="13"/>
      <c r="D38" s="13">
        <f>B38-C38</f>
        <v>0</v>
      </c>
    </row>
    <row r="39" spans="1:4" ht="12.75" customHeight="1" hidden="1">
      <c r="A39" s="9"/>
      <c r="B39" s="13"/>
      <c r="C39" s="13"/>
      <c r="D39" s="13">
        <f>B39-C39</f>
        <v>0</v>
      </c>
    </row>
    <row r="40" spans="1:4" ht="12.75" customHeight="1" hidden="1">
      <c r="A40" s="7" t="s">
        <v>81</v>
      </c>
      <c r="B40" s="8">
        <f>SUM(B41:B52)</f>
        <v>0</v>
      </c>
      <c r="C40" s="8">
        <f>SUM(C41:C52)</f>
        <v>0</v>
      </c>
      <c r="D40" s="8">
        <f>SUM(D41:D52)</f>
        <v>0</v>
      </c>
    </row>
    <row r="41" spans="1:4" ht="12.75" customHeight="1" hidden="1">
      <c r="A41" s="9" t="s">
        <v>25</v>
      </c>
      <c r="B41" s="8">
        <v>0</v>
      </c>
      <c r="C41" s="8"/>
      <c r="D41" s="8">
        <f aca="true" t="shared" si="2" ref="D41:D52">B41-C41</f>
        <v>0</v>
      </c>
    </row>
    <row r="42" spans="1:4" ht="12.75" customHeight="1" hidden="1">
      <c r="A42" s="9" t="s">
        <v>13</v>
      </c>
      <c r="B42" s="13"/>
      <c r="C42" s="13"/>
      <c r="D42" s="8">
        <f t="shared" si="2"/>
        <v>0</v>
      </c>
    </row>
    <row r="43" spans="1:4" ht="12.75" customHeight="1" hidden="1">
      <c r="A43" s="9" t="s">
        <v>14</v>
      </c>
      <c r="B43" s="13"/>
      <c r="C43" s="13"/>
      <c r="D43" s="8">
        <f t="shared" si="2"/>
        <v>0</v>
      </c>
    </row>
    <row r="44" spans="1:4" ht="12.75" customHeight="1" hidden="1">
      <c r="A44" s="9" t="s">
        <v>15</v>
      </c>
      <c r="B44" s="13"/>
      <c r="C44" s="13"/>
      <c r="D44" s="8">
        <f t="shared" si="2"/>
        <v>0</v>
      </c>
    </row>
    <row r="45" spans="1:4" ht="12.75" customHeight="1" hidden="1">
      <c r="A45" s="9" t="s">
        <v>16</v>
      </c>
      <c r="B45" s="13"/>
      <c r="C45" s="13"/>
      <c r="D45" s="8">
        <f t="shared" si="2"/>
        <v>0</v>
      </c>
    </row>
    <row r="46" spans="1:4" ht="12.75" customHeight="1" hidden="1">
      <c r="A46" s="9" t="s">
        <v>17</v>
      </c>
      <c r="B46" s="13"/>
      <c r="C46" s="13"/>
      <c r="D46" s="8">
        <f t="shared" si="2"/>
        <v>0</v>
      </c>
    </row>
    <row r="47" spans="1:4" ht="12.75" customHeight="1" hidden="1">
      <c r="A47" s="9" t="s">
        <v>18</v>
      </c>
      <c r="B47" s="13"/>
      <c r="C47" s="13"/>
      <c r="D47" s="8">
        <f t="shared" si="2"/>
        <v>0</v>
      </c>
    </row>
    <row r="48" spans="1:4" ht="12.75" customHeight="1" hidden="1">
      <c r="A48" s="9" t="s">
        <v>19</v>
      </c>
      <c r="B48" s="13"/>
      <c r="C48" s="13"/>
      <c r="D48" s="8">
        <f t="shared" si="2"/>
        <v>0</v>
      </c>
    </row>
    <row r="49" spans="1:4" ht="12.75" customHeight="1" hidden="1">
      <c r="A49" s="9" t="s">
        <v>20</v>
      </c>
      <c r="B49" s="13"/>
      <c r="C49" s="13"/>
      <c r="D49" s="8">
        <f t="shared" si="2"/>
        <v>0</v>
      </c>
    </row>
    <row r="50" spans="1:4" ht="12.75" customHeight="1" hidden="1">
      <c r="A50" s="9" t="s">
        <v>21</v>
      </c>
      <c r="B50" s="13"/>
      <c r="C50" s="13"/>
      <c r="D50" s="8">
        <f t="shared" si="2"/>
        <v>0</v>
      </c>
    </row>
    <row r="51" spans="1:4" ht="12.75" customHeight="1" hidden="1">
      <c r="A51" s="9" t="s">
        <v>22</v>
      </c>
      <c r="B51" s="13"/>
      <c r="C51" s="13"/>
      <c r="D51" s="8">
        <f t="shared" si="2"/>
        <v>0</v>
      </c>
    </row>
    <row r="52" spans="1:4" ht="12.75" customHeight="1" hidden="1">
      <c r="A52" s="9" t="s">
        <v>23</v>
      </c>
      <c r="B52" s="13"/>
      <c r="C52" s="13"/>
      <c r="D52" s="8">
        <f t="shared" si="2"/>
        <v>0</v>
      </c>
    </row>
    <row r="53" spans="1:4" ht="12.75">
      <c r="A53" s="9" t="s">
        <v>26</v>
      </c>
      <c r="B53" s="8">
        <f>B11+B24+B37+B40-B40</f>
        <v>1170850.24</v>
      </c>
      <c r="C53" s="8">
        <f>C11+C24+C37+C40-C37-C40</f>
        <v>1177716.51</v>
      </c>
      <c r="D53" s="8">
        <f>D11+D24+D37+D40-D37-D40</f>
        <v>-6866.270000000091</v>
      </c>
    </row>
    <row r="55" spans="1:4" ht="12.75">
      <c r="A55" t="s">
        <v>27</v>
      </c>
      <c r="D55" s="12">
        <f>D53</f>
        <v>-6866.270000000091</v>
      </c>
    </row>
    <row r="57" spans="1:4" ht="12.75">
      <c r="A57" s="11" t="s">
        <v>28</v>
      </c>
      <c r="D57" s="12">
        <f>D58+D59</f>
        <v>75675.312</v>
      </c>
    </row>
    <row r="58" spans="1:4" ht="12.75" hidden="1">
      <c r="A58" s="11" t="s">
        <v>29</v>
      </c>
      <c r="D58" s="12">
        <f>(1.33*4*D3)+(1.21*8*D3)</f>
        <v>63486</v>
      </c>
    </row>
    <row r="59" spans="1:4" ht="12.75" hidden="1">
      <c r="A59" s="11" t="s">
        <v>30</v>
      </c>
      <c r="D59" s="12">
        <f>(0.24*12*D3)</f>
        <v>12189.311999999998</v>
      </c>
    </row>
    <row r="60" spans="1:4" ht="12.75" hidden="1">
      <c r="A60" s="11" t="s">
        <v>31</v>
      </c>
      <c r="D60" s="12">
        <v>0</v>
      </c>
    </row>
    <row r="61" spans="1:4" ht="12.75">
      <c r="A61" s="11" t="s">
        <v>77</v>
      </c>
      <c r="D61" s="12">
        <f>955.7*0.22*4+(955.7*2.5)</f>
        <v>3230.266</v>
      </c>
    </row>
    <row r="62" spans="1:4" ht="12.75">
      <c r="A62" s="11" t="s">
        <v>80</v>
      </c>
      <c r="D62" s="12">
        <f>(2.66*4*D3)+(2.42*8*D3)</f>
        <v>126972</v>
      </c>
    </row>
    <row r="63" spans="1:4" ht="12.75" hidden="1">
      <c r="A63" s="11" t="s">
        <v>32</v>
      </c>
      <c r="D63" s="12">
        <v>0</v>
      </c>
    </row>
    <row r="64" spans="1:4" ht="12.75">
      <c r="A64" s="11" t="s">
        <v>76</v>
      </c>
      <c r="D64" s="12">
        <f>(0.72*3*D3)</f>
        <v>9141.984</v>
      </c>
    </row>
    <row r="65" spans="1:4" ht="12.75">
      <c r="A65" s="11" t="s">
        <v>33</v>
      </c>
      <c r="D65" s="12">
        <f>(1.45*4*D3)+(1.32*8*D3)</f>
        <v>69242.064</v>
      </c>
    </row>
    <row r="66" spans="1:4" ht="12.75">
      <c r="A66" s="11" t="s">
        <v>34</v>
      </c>
      <c r="D66" s="12">
        <f>(4.94*4*D3)+(4.51*8*D3)</f>
        <v>236337.21599999996</v>
      </c>
    </row>
    <row r="67" spans="1:4" ht="12.75">
      <c r="A67" s="11" t="s">
        <v>35</v>
      </c>
      <c r="D67" s="12">
        <f>(0.29*4*D3)+(0.26*8*D3)</f>
        <v>13712.975999999999</v>
      </c>
    </row>
    <row r="68" spans="1:4" ht="12.75">
      <c r="A68" s="11" t="s">
        <v>78</v>
      </c>
      <c r="D68" s="12">
        <f>(3.87*4*D3)+(3.52*8*D3)</f>
        <v>184701.936</v>
      </c>
    </row>
    <row r="69" spans="1:4" ht="12.75">
      <c r="A69" s="11" t="s">
        <v>36</v>
      </c>
      <c r="D69" s="12">
        <f>2.25*12*D4</f>
        <v>1944</v>
      </c>
    </row>
    <row r="70" spans="1:4" ht="12.75">
      <c r="A70" s="11" t="s">
        <v>37</v>
      </c>
      <c r="D70" s="12">
        <v>67808</v>
      </c>
    </row>
    <row r="71" spans="1:4" ht="12.75">
      <c r="A71" s="11" t="s">
        <v>38</v>
      </c>
      <c r="D71" s="12">
        <f>(0.7*4*D3)+(0.64*8*D3)</f>
        <v>33520.60799999999</v>
      </c>
    </row>
    <row r="72" spans="1:4" ht="12.75" hidden="1">
      <c r="A72" s="14" t="s">
        <v>62</v>
      </c>
      <c r="D72" s="12">
        <v>0</v>
      </c>
    </row>
    <row r="73" spans="1:4" ht="12.75">
      <c r="A73" s="11" t="s">
        <v>64</v>
      </c>
      <c r="D73" s="12">
        <f>(4.66*4*D3)+(4.24*8*D3)</f>
        <v>222454.94400000002</v>
      </c>
    </row>
    <row r="74" spans="1:4" ht="12.75">
      <c r="A74" s="11"/>
      <c r="D74" s="12"/>
    </row>
    <row r="75" spans="1:8" ht="12.75">
      <c r="A75" s="11" t="s">
        <v>39</v>
      </c>
      <c r="D75" s="12">
        <f>D57+D60+D62+D63+D65+D66+D67+D68+D69+D70+D71+D72+D73-D72+D61+D64</f>
        <v>1044741.306</v>
      </c>
      <c r="H75" s="22"/>
    </row>
    <row r="76" spans="1:4" ht="12.75">
      <c r="A76" s="11"/>
      <c r="D76" s="12"/>
    </row>
    <row r="77" spans="1:4" ht="12.75">
      <c r="A77" t="s">
        <v>66</v>
      </c>
      <c r="D77" s="12">
        <f>C53-D75</f>
        <v>132975.20400000003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65"/>
  <sheetViews>
    <sheetView zoomScalePageLayoutView="0" workbookViewId="0" topLeftCell="A1">
      <selection activeCell="A56" sqref="A56:IV56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16.140625" style="0" customWidth="1"/>
    <col min="4" max="4" width="13.00390625" style="0" customWidth="1"/>
  </cols>
  <sheetData>
    <row r="1" spans="1:7" ht="12.75">
      <c r="A1" s="1" t="s">
        <v>0</v>
      </c>
      <c r="B1" s="2" t="s">
        <v>1</v>
      </c>
      <c r="C1" s="1" t="s">
        <v>48</v>
      </c>
      <c r="D1" s="1"/>
      <c r="E1" s="1" t="s">
        <v>2</v>
      </c>
      <c r="F1" s="15" t="s">
        <v>71</v>
      </c>
      <c r="G1">
        <v>2016</v>
      </c>
    </row>
    <row r="3" spans="1:5" ht="12.75">
      <c r="A3" t="s">
        <v>3</v>
      </c>
      <c r="D3" s="4">
        <v>2800.7</v>
      </c>
      <c r="E3" s="5" t="s">
        <v>40</v>
      </c>
    </row>
    <row r="4" spans="1:5" ht="12.75">
      <c r="A4" t="s">
        <v>4</v>
      </c>
      <c r="D4" s="4">
        <v>60</v>
      </c>
      <c r="E4" s="5"/>
    </row>
    <row r="5" spans="1:5" ht="12.75">
      <c r="A5" t="s">
        <v>5</v>
      </c>
      <c r="D5" s="4">
        <v>131</v>
      </c>
      <c r="E5" s="5" t="s">
        <v>6</v>
      </c>
    </row>
    <row r="6" spans="1:5" ht="12.75">
      <c r="A6" t="s">
        <v>7</v>
      </c>
      <c r="D6" s="4">
        <v>303</v>
      </c>
      <c r="E6" s="5" t="s">
        <v>40</v>
      </c>
    </row>
    <row r="7" spans="1:5" ht="12.75">
      <c r="A7" t="s">
        <v>8</v>
      </c>
      <c r="D7" s="4">
        <v>1407</v>
      </c>
      <c r="E7" s="5" t="s">
        <v>40</v>
      </c>
    </row>
    <row r="10" spans="2:4" ht="12" customHeight="1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696043.04</v>
      </c>
      <c r="C11" s="8">
        <f>SUM(C12:C23)</f>
        <v>708967.77</v>
      </c>
      <c r="D11" s="8">
        <f>SUM(D12:D23)</f>
        <v>-12924.730000000032</v>
      </c>
    </row>
    <row r="12" spans="1:4" ht="12.75">
      <c r="A12" s="9" t="s">
        <v>25</v>
      </c>
      <c r="B12" s="8">
        <v>56137.92</v>
      </c>
      <c r="C12" s="8">
        <v>52892.17</v>
      </c>
      <c r="D12" s="8">
        <f aca="true" t="shared" si="0" ref="D12:D19">B12-C12</f>
        <v>3245.75</v>
      </c>
    </row>
    <row r="13" spans="1:4" ht="12.75">
      <c r="A13" s="9" t="s">
        <v>13</v>
      </c>
      <c r="B13" s="8">
        <v>56137.92</v>
      </c>
      <c r="C13" s="13">
        <v>61805.03</v>
      </c>
      <c r="D13" s="8">
        <f t="shared" si="0"/>
        <v>-5667.110000000001</v>
      </c>
    </row>
    <row r="14" spans="1:4" ht="12.75">
      <c r="A14" s="9" t="s">
        <v>14</v>
      </c>
      <c r="B14" s="8">
        <v>56137.92</v>
      </c>
      <c r="C14" s="13">
        <v>57069.14</v>
      </c>
      <c r="D14" s="8">
        <f t="shared" si="0"/>
        <v>-931.2200000000012</v>
      </c>
    </row>
    <row r="15" spans="1:4" ht="12.75">
      <c r="A15" s="9" t="s">
        <v>15</v>
      </c>
      <c r="B15" s="8">
        <v>56137.92</v>
      </c>
      <c r="C15" s="13">
        <v>67779.24</v>
      </c>
      <c r="D15" s="8">
        <f t="shared" si="0"/>
        <v>-11641.320000000007</v>
      </c>
    </row>
    <row r="16" spans="1:4" ht="12.75">
      <c r="A16" s="9" t="s">
        <v>16</v>
      </c>
      <c r="B16" s="8">
        <v>56137.92</v>
      </c>
      <c r="C16" s="13">
        <v>53577.02</v>
      </c>
      <c r="D16" s="8">
        <f t="shared" si="0"/>
        <v>2560.9000000000015</v>
      </c>
    </row>
    <row r="17" spans="1:4" ht="12.75">
      <c r="A17" s="9" t="s">
        <v>17</v>
      </c>
      <c r="B17" s="8">
        <v>56137.92</v>
      </c>
      <c r="C17" s="13">
        <v>54918.3</v>
      </c>
      <c r="D17" s="8">
        <f t="shared" si="0"/>
        <v>1219.6199999999953</v>
      </c>
    </row>
    <row r="18" spans="1:4" ht="12.75">
      <c r="A18" s="9" t="s">
        <v>18</v>
      </c>
      <c r="B18" s="8">
        <v>56137.92</v>
      </c>
      <c r="C18" s="13">
        <v>63166.37</v>
      </c>
      <c r="D18" s="8">
        <f t="shared" si="0"/>
        <v>-7028.450000000004</v>
      </c>
    </row>
    <row r="19" spans="1:4" ht="12.75">
      <c r="A19" s="9" t="s">
        <v>19</v>
      </c>
      <c r="B19" s="8">
        <v>56137.92</v>
      </c>
      <c r="C19" s="13">
        <v>53925.06</v>
      </c>
      <c r="D19" s="8">
        <f t="shared" si="0"/>
        <v>2212.8600000000006</v>
      </c>
    </row>
    <row r="20" spans="1:4" ht="12.75">
      <c r="A20" s="9" t="s">
        <v>20</v>
      </c>
      <c r="B20" s="13">
        <v>61734.92</v>
      </c>
      <c r="C20" s="13">
        <v>59213.3</v>
      </c>
      <c r="D20" s="8">
        <f>B20-C20</f>
        <v>2521.6199999999953</v>
      </c>
    </row>
    <row r="21" spans="1:4" ht="12.75">
      <c r="A21" s="9" t="s">
        <v>21</v>
      </c>
      <c r="B21" s="13">
        <v>61734.92</v>
      </c>
      <c r="C21" s="13">
        <v>60692.44</v>
      </c>
      <c r="D21" s="13">
        <f>B21-C21</f>
        <v>1042.479999999996</v>
      </c>
    </row>
    <row r="22" spans="1:4" ht="12.75">
      <c r="A22" s="9" t="s">
        <v>22</v>
      </c>
      <c r="B22" s="13">
        <v>61734.92</v>
      </c>
      <c r="C22" s="13">
        <v>58985.12</v>
      </c>
      <c r="D22" s="13">
        <f>B22-C22</f>
        <v>2749.7999999999956</v>
      </c>
    </row>
    <row r="23" spans="1:4" ht="12.75">
      <c r="A23" s="9" t="s">
        <v>23</v>
      </c>
      <c r="B23" s="13">
        <v>61734.92</v>
      </c>
      <c r="C23" s="13">
        <v>64944.58</v>
      </c>
      <c r="D23" s="13">
        <f>B23-C23</f>
        <v>-3209.6600000000035</v>
      </c>
    </row>
    <row r="24" spans="1:4" ht="12.75">
      <c r="A24" s="7" t="s">
        <v>24</v>
      </c>
      <c r="B24" s="8">
        <f>SUM(B25:B36)</f>
        <v>79.80000000000001</v>
      </c>
      <c r="C24" s="8">
        <f>SUM(C25:C36)</f>
        <v>79.80000000000001</v>
      </c>
      <c r="D24" s="8">
        <f>SUM(D25:D36)</f>
        <v>0</v>
      </c>
    </row>
    <row r="25" spans="1:4" ht="12.75">
      <c r="A25" s="9" t="s">
        <v>25</v>
      </c>
      <c r="B25" s="8">
        <v>6.65</v>
      </c>
      <c r="C25" s="8">
        <v>6.65</v>
      </c>
      <c r="D25" s="8">
        <f aca="true" t="shared" si="1" ref="D25:D36">B25-C25</f>
        <v>0</v>
      </c>
    </row>
    <row r="26" spans="1:4" ht="12.75">
      <c r="A26" s="9" t="s">
        <v>13</v>
      </c>
      <c r="B26" s="8">
        <v>6.65</v>
      </c>
      <c r="C26" s="8">
        <v>4.08</v>
      </c>
      <c r="D26" s="8">
        <f t="shared" si="1"/>
        <v>2.5700000000000003</v>
      </c>
    </row>
    <row r="27" spans="1:4" ht="12.75">
      <c r="A27" s="9" t="s">
        <v>14</v>
      </c>
      <c r="B27" s="8">
        <v>6.65</v>
      </c>
      <c r="C27" s="8">
        <v>6.65</v>
      </c>
      <c r="D27" s="8">
        <f t="shared" si="1"/>
        <v>0</v>
      </c>
    </row>
    <row r="28" spans="1:4" ht="12.75">
      <c r="A28" s="9" t="s">
        <v>15</v>
      </c>
      <c r="B28" s="8">
        <v>6.65</v>
      </c>
      <c r="C28" s="13">
        <v>5.14</v>
      </c>
      <c r="D28" s="8">
        <f t="shared" si="1"/>
        <v>1.5100000000000007</v>
      </c>
    </row>
    <row r="29" spans="1:4" ht="12.75">
      <c r="A29" s="9" t="s">
        <v>16</v>
      </c>
      <c r="B29" s="8">
        <v>6.65</v>
      </c>
      <c r="C29" s="8">
        <v>6.65</v>
      </c>
      <c r="D29" s="8">
        <f t="shared" si="1"/>
        <v>0</v>
      </c>
    </row>
    <row r="30" spans="1:4" ht="12.75">
      <c r="A30" s="9" t="s">
        <v>17</v>
      </c>
      <c r="B30" s="8">
        <v>6.65</v>
      </c>
      <c r="C30" s="8">
        <v>10.73</v>
      </c>
      <c r="D30" s="8">
        <f t="shared" si="1"/>
        <v>-4.08</v>
      </c>
    </row>
    <row r="31" spans="1:4" ht="12.75">
      <c r="A31" s="9" t="s">
        <v>18</v>
      </c>
      <c r="B31" s="8">
        <v>6.65</v>
      </c>
      <c r="C31" s="13">
        <v>2.57</v>
      </c>
      <c r="D31" s="8">
        <f t="shared" si="1"/>
        <v>4.08</v>
      </c>
    </row>
    <row r="32" spans="1:4" ht="12.75">
      <c r="A32" s="9" t="s">
        <v>19</v>
      </c>
      <c r="B32" s="8">
        <v>6.65</v>
      </c>
      <c r="C32" s="13">
        <v>2.57</v>
      </c>
      <c r="D32" s="8">
        <f t="shared" si="1"/>
        <v>4.08</v>
      </c>
    </row>
    <row r="33" spans="1:4" ht="12.75">
      <c r="A33" s="9" t="s">
        <v>20</v>
      </c>
      <c r="B33" s="8">
        <v>6.65</v>
      </c>
      <c r="C33" s="13">
        <v>10.73</v>
      </c>
      <c r="D33" s="8">
        <f t="shared" si="1"/>
        <v>-4.08</v>
      </c>
    </row>
    <row r="34" spans="1:4" ht="12.75">
      <c r="A34" s="9" t="s">
        <v>21</v>
      </c>
      <c r="B34" s="8">
        <v>6.65</v>
      </c>
      <c r="C34" s="13">
        <v>10.73</v>
      </c>
      <c r="D34" s="13">
        <f t="shared" si="1"/>
        <v>-4.08</v>
      </c>
    </row>
    <row r="35" spans="1:4" ht="12.75">
      <c r="A35" s="9" t="s">
        <v>22</v>
      </c>
      <c r="B35" s="8">
        <v>6.65</v>
      </c>
      <c r="C35" s="13">
        <v>2.57</v>
      </c>
      <c r="D35" s="13">
        <f t="shared" si="1"/>
        <v>4.08</v>
      </c>
    </row>
    <row r="36" spans="1:4" ht="12.75">
      <c r="A36" s="9" t="s">
        <v>23</v>
      </c>
      <c r="B36" s="8">
        <v>6.65</v>
      </c>
      <c r="C36" s="8">
        <v>10.73</v>
      </c>
      <c r="D36" s="13">
        <f t="shared" si="1"/>
        <v>-4.08</v>
      </c>
    </row>
    <row r="37" spans="1:4" ht="12.75">
      <c r="A37" s="9" t="s">
        <v>26</v>
      </c>
      <c r="B37" s="8">
        <f>B11+B24</f>
        <v>696122.8400000001</v>
      </c>
      <c r="C37" s="8">
        <f>C11+C24</f>
        <v>709047.5700000001</v>
      </c>
      <c r="D37" s="8">
        <f>D11+D24</f>
        <v>-12924.730000000032</v>
      </c>
    </row>
    <row r="39" spans="1:4" ht="12.75">
      <c r="A39" t="s">
        <v>27</v>
      </c>
      <c r="D39" s="12">
        <f>D37</f>
        <v>-12924.730000000032</v>
      </c>
    </row>
    <row r="41" spans="1:4" ht="12.75">
      <c r="A41" s="11" t="s">
        <v>28</v>
      </c>
      <c r="D41" s="12">
        <f>D42+D43</f>
        <v>50076.516</v>
      </c>
    </row>
    <row r="42" spans="1:4" ht="12.75" hidden="1">
      <c r="A42" s="11" t="s">
        <v>29</v>
      </c>
      <c r="D42" s="12">
        <f>(1.33*4*D3)+(1.21*8*D3)</f>
        <v>42010.5</v>
      </c>
    </row>
    <row r="43" spans="1:4" ht="12.75" hidden="1">
      <c r="A43" s="11" t="s">
        <v>30</v>
      </c>
      <c r="D43" s="12">
        <f>(0.24*12*D3)</f>
        <v>8066.016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1137.3*0.22*4+(1137.3*2.5)</f>
        <v>3844.074</v>
      </c>
    </row>
    <row r="46" spans="1:4" ht="12.75">
      <c r="A46" s="11" t="s">
        <v>80</v>
      </c>
      <c r="D46" s="12">
        <f>(2.66*4*D3)+(2.42*8*D3)</f>
        <v>84021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(0.72*2*D3)</f>
        <v>4033.008</v>
      </c>
    </row>
    <row r="49" spans="1:4" ht="12.75">
      <c r="A49" s="11" t="s">
        <v>33</v>
      </c>
      <c r="D49" s="12">
        <f>(1.45*4*D3)+(1.32*8*D3)</f>
        <v>45819.452</v>
      </c>
    </row>
    <row r="50" spans="1:4" ht="12.75">
      <c r="A50" s="11" t="s">
        <v>34</v>
      </c>
      <c r="D50" s="12">
        <f>(5.11*4*D3)+(4.51*8*D3)</f>
        <v>158295.56399999998</v>
      </c>
    </row>
    <row r="51" spans="1:4" ht="12.75">
      <c r="A51" s="11" t="s">
        <v>35</v>
      </c>
      <c r="D51" s="12">
        <f>(0.29*4*D3)+(0.26*8*D3)</f>
        <v>9074.268</v>
      </c>
    </row>
    <row r="52" spans="1:4" ht="12.75">
      <c r="A52" s="11" t="s">
        <v>78</v>
      </c>
      <c r="D52" s="12">
        <f>(3.87*4*D3)+(3.52*8*D3)</f>
        <v>122222.548</v>
      </c>
    </row>
    <row r="53" spans="1:4" ht="12.75">
      <c r="A53" s="11" t="s">
        <v>36</v>
      </c>
      <c r="D53" s="12">
        <f>2.25*12*D4</f>
        <v>1620</v>
      </c>
    </row>
    <row r="54" spans="1:4" ht="12.75">
      <c r="A54" s="11" t="s">
        <v>37</v>
      </c>
      <c r="D54" s="12">
        <v>45931</v>
      </c>
    </row>
    <row r="55" spans="1:4" ht="12.75">
      <c r="A55" s="11" t="s">
        <v>38</v>
      </c>
      <c r="D55" s="12">
        <f>(0.91*4*D3)+(0.83*8*D3)</f>
        <v>28791.195999999996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8" ht="12.75">
      <c r="A58" s="11" t="s">
        <v>39</v>
      </c>
      <c r="D58" s="12">
        <f>D41+D44+D45+D46+D47+D48+D49+D50+D51+D52+D53+D54+D55</f>
        <v>553728.6259999999</v>
      </c>
      <c r="H58" s="22"/>
    </row>
    <row r="59" spans="1:8" ht="12.75">
      <c r="A59" s="11"/>
      <c r="D59" s="12"/>
      <c r="H59" s="22"/>
    </row>
    <row r="60" spans="1:8" ht="12.75">
      <c r="A60" t="s">
        <v>65</v>
      </c>
      <c r="D60" s="12">
        <f>C37-D58</f>
        <v>155318.94400000013</v>
      </c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72"/>
  <sheetViews>
    <sheetView zoomScalePageLayoutView="0" workbookViewId="0" topLeftCell="A1">
      <selection activeCell="A47" sqref="A47:IV47"/>
    </sheetView>
  </sheetViews>
  <sheetFormatPr defaultColWidth="9.140625" defaultRowHeight="12.75"/>
  <cols>
    <col min="1" max="1" width="12.421875" style="0" customWidth="1"/>
    <col min="2" max="2" width="13.8515625" style="0" customWidth="1"/>
    <col min="3" max="4" width="14.140625" style="0" customWidth="1"/>
  </cols>
  <sheetData>
    <row r="1" spans="1:7" ht="12.75">
      <c r="A1" s="1" t="s">
        <v>0</v>
      </c>
      <c r="B1" s="2" t="s">
        <v>1</v>
      </c>
      <c r="C1" s="1" t="s">
        <v>48</v>
      </c>
      <c r="D1" s="1"/>
      <c r="E1" s="1" t="s">
        <v>2</v>
      </c>
      <c r="F1" s="3">
        <v>32</v>
      </c>
      <c r="G1">
        <v>2016</v>
      </c>
    </row>
    <row r="3" spans="1:5" ht="12.75">
      <c r="A3" t="s">
        <v>3</v>
      </c>
      <c r="D3" s="4">
        <v>6779.1</v>
      </c>
      <c r="E3" s="5" t="s">
        <v>40</v>
      </c>
    </row>
    <row r="4" spans="1:5" ht="12.75">
      <c r="A4" t="s">
        <v>4</v>
      </c>
      <c r="D4" s="4">
        <v>119</v>
      </c>
      <c r="E4" s="5"/>
    </row>
    <row r="5" spans="1:5" ht="12.75">
      <c r="A5" t="s">
        <v>5</v>
      </c>
      <c r="D5" s="4">
        <v>266</v>
      </c>
      <c r="E5" s="5" t="s">
        <v>6</v>
      </c>
    </row>
    <row r="6" spans="1:5" ht="12.75">
      <c r="A6" t="s">
        <v>7</v>
      </c>
      <c r="C6" t="s">
        <v>67</v>
      </c>
      <c r="D6" s="4">
        <v>1124</v>
      </c>
      <c r="E6" s="5" t="s">
        <v>40</v>
      </c>
    </row>
    <row r="7" spans="1:5" ht="12.75">
      <c r="A7" t="s">
        <v>8</v>
      </c>
      <c r="D7" s="4">
        <v>6351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1938295.6400000001</v>
      </c>
      <c r="C11" s="8">
        <f>SUM(C12:C23)</f>
        <v>1866865.6099999999</v>
      </c>
      <c r="D11" s="8">
        <f>SUM(D12:D23)</f>
        <v>71430.03</v>
      </c>
    </row>
    <row r="12" spans="1:4" ht="12.75">
      <c r="A12" s="9" t="s">
        <v>25</v>
      </c>
      <c r="B12" s="8">
        <v>156326.1</v>
      </c>
      <c r="C12" s="8">
        <v>133718.36</v>
      </c>
      <c r="D12" s="8">
        <f aca="true" t="shared" si="0" ref="D12:D23">B12-C12</f>
        <v>22607.74000000002</v>
      </c>
    </row>
    <row r="13" spans="1:4" ht="12.75">
      <c r="A13" s="9" t="s">
        <v>13</v>
      </c>
      <c r="B13" s="8">
        <v>156326.1</v>
      </c>
      <c r="C13" s="13">
        <v>156145.44</v>
      </c>
      <c r="D13" s="8">
        <f t="shared" si="0"/>
        <v>180.6600000000035</v>
      </c>
    </row>
    <row r="14" spans="1:4" ht="12.75">
      <c r="A14" s="9" t="s">
        <v>14</v>
      </c>
      <c r="B14" s="8">
        <v>156326.1</v>
      </c>
      <c r="C14" s="13">
        <v>156005.06</v>
      </c>
      <c r="D14" s="8">
        <f t="shared" si="0"/>
        <v>321.04000000000815</v>
      </c>
    </row>
    <row r="15" spans="1:4" ht="12.75">
      <c r="A15" s="9" t="s">
        <v>15</v>
      </c>
      <c r="B15" s="8">
        <v>156326.1</v>
      </c>
      <c r="C15" s="13">
        <v>145654.27</v>
      </c>
      <c r="D15" s="8">
        <f t="shared" si="0"/>
        <v>10671.830000000016</v>
      </c>
    </row>
    <row r="16" spans="1:4" ht="12.75">
      <c r="A16" s="9" t="s">
        <v>16</v>
      </c>
      <c r="B16" s="8">
        <v>156326.1</v>
      </c>
      <c r="C16" s="13">
        <v>144937.43</v>
      </c>
      <c r="D16" s="8">
        <f t="shared" si="0"/>
        <v>11388.670000000013</v>
      </c>
    </row>
    <row r="17" spans="1:4" ht="12.75">
      <c r="A17" s="9" t="s">
        <v>17</v>
      </c>
      <c r="B17" s="8">
        <v>156326.1</v>
      </c>
      <c r="C17" s="13">
        <v>166303.95</v>
      </c>
      <c r="D17" s="8">
        <f t="shared" si="0"/>
        <v>-9977.850000000006</v>
      </c>
    </row>
    <row r="18" spans="1:4" ht="12.75">
      <c r="A18" s="9" t="s">
        <v>18</v>
      </c>
      <c r="B18" s="8">
        <v>156328.4</v>
      </c>
      <c r="C18" s="13">
        <v>135368.17</v>
      </c>
      <c r="D18" s="8">
        <f t="shared" si="0"/>
        <v>20960.22999999998</v>
      </c>
    </row>
    <row r="19" spans="1:4" ht="12.75">
      <c r="A19" s="9" t="s">
        <v>19</v>
      </c>
      <c r="B19" s="8">
        <v>156328.4</v>
      </c>
      <c r="C19" s="13">
        <v>150910.52</v>
      </c>
      <c r="D19" s="8">
        <f t="shared" si="0"/>
        <v>5417.880000000005</v>
      </c>
    </row>
    <row r="20" spans="1:4" ht="12.75">
      <c r="A20" s="9" t="s">
        <v>20</v>
      </c>
      <c r="B20" s="13">
        <v>171920.56</v>
      </c>
      <c r="C20" s="13">
        <v>164926.59</v>
      </c>
      <c r="D20" s="8">
        <f t="shared" si="0"/>
        <v>6993.970000000001</v>
      </c>
    </row>
    <row r="21" spans="1:4" ht="12.75">
      <c r="A21" s="9" t="s">
        <v>21</v>
      </c>
      <c r="B21" s="13">
        <v>171920.56</v>
      </c>
      <c r="C21" s="13">
        <v>161804.42</v>
      </c>
      <c r="D21" s="13">
        <f t="shared" si="0"/>
        <v>10116.139999999985</v>
      </c>
    </row>
    <row r="22" spans="1:4" ht="12.75">
      <c r="A22" s="9" t="s">
        <v>22</v>
      </c>
      <c r="B22" s="13">
        <v>171920.56</v>
      </c>
      <c r="C22" s="13">
        <v>177458.23</v>
      </c>
      <c r="D22" s="13">
        <f t="shared" si="0"/>
        <v>-5537.670000000013</v>
      </c>
    </row>
    <row r="23" spans="1:4" ht="12.75">
      <c r="A23" s="9" t="s">
        <v>23</v>
      </c>
      <c r="B23" s="13">
        <v>171920.56</v>
      </c>
      <c r="C23" s="13">
        <v>173633.17</v>
      </c>
      <c r="D23" s="13">
        <f t="shared" si="0"/>
        <v>-1712.6100000000151</v>
      </c>
    </row>
    <row r="24" spans="1:4" ht="12.75">
      <c r="A24" s="7" t="s">
        <v>24</v>
      </c>
      <c r="B24" s="8">
        <f>SUM(B25:B36)</f>
        <v>207.40000000000003</v>
      </c>
      <c r="C24" s="8">
        <f>SUM(C25:C36)</f>
        <v>207.01999999999995</v>
      </c>
      <c r="D24" s="8">
        <f>SUM(D25:D36)</f>
        <v>0.3799999999999848</v>
      </c>
    </row>
    <row r="25" spans="1:4" ht="12.75">
      <c r="A25" s="9" t="s">
        <v>25</v>
      </c>
      <c r="B25" s="8">
        <v>17.65</v>
      </c>
      <c r="C25" s="8">
        <v>8.83</v>
      </c>
      <c r="D25" s="8">
        <f aca="true" t="shared" si="1" ref="D25:D36">B25-C25</f>
        <v>8.819999999999999</v>
      </c>
    </row>
    <row r="26" spans="1:4" ht="12.75">
      <c r="A26" s="9" t="s">
        <v>13</v>
      </c>
      <c r="B26" s="8">
        <v>17.65</v>
      </c>
      <c r="C26" s="13">
        <v>17.63</v>
      </c>
      <c r="D26" s="8">
        <f t="shared" si="1"/>
        <v>0.019999999999999574</v>
      </c>
    </row>
    <row r="27" spans="1:4" ht="12.75">
      <c r="A27" s="9" t="s">
        <v>14</v>
      </c>
      <c r="B27" s="8">
        <v>17.65</v>
      </c>
      <c r="C27" s="13">
        <v>26.86</v>
      </c>
      <c r="D27" s="8">
        <f t="shared" si="1"/>
        <v>-9.21</v>
      </c>
    </row>
    <row r="28" spans="1:4" ht="12.75">
      <c r="A28" s="9" t="s">
        <v>15</v>
      </c>
      <c r="B28" s="8">
        <v>17.65</v>
      </c>
      <c r="C28" s="13">
        <v>13.23</v>
      </c>
      <c r="D28" s="8">
        <f t="shared" si="1"/>
        <v>4.419999999999998</v>
      </c>
    </row>
    <row r="29" spans="1:4" ht="12.75">
      <c r="A29" s="9" t="s">
        <v>16</v>
      </c>
      <c r="B29" s="8">
        <v>17.65</v>
      </c>
      <c r="C29" s="13">
        <v>18.38</v>
      </c>
      <c r="D29" s="8">
        <f t="shared" si="1"/>
        <v>-0.7300000000000004</v>
      </c>
    </row>
    <row r="30" spans="1:4" ht="12.75">
      <c r="A30" s="9" t="s">
        <v>17</v>
      </c>
      <c r="B30" s="8">
        <v>17.65</v>
      </c>
      <c r="C30" s="13">
        <v>20.86</v>
      </c>
      <c r="D30" s="8">
        <f t="shared" si="1"/>
        <v>-3.210000000000001</v>
      </c>
    </row>
    <row r="31" spans="1:4" ht="12.75">
      <c r="A31" s="9" t="s">
        <v>18</v>
      </c>
      <c r="B31" s="8">
        <v>17.65</v>
      </c>
      <c r="C31" s="13">
        <v>17.63</v>
      </c>
      <c r="D31" s="8">
        <f t="shared" si="1"/>
        <v>0.019999999999999574</v>
      </c>
    </row>
    <row r="32" spans="1:4" ht="12.75">
      <c r="A32" s="9" t="s">
        <v>19</v>
      </c>
      <c r="B32" s="8">
        <v>17.65</v>
      </c>
      <c r="C32" s="13">
        <v>17.94</v>
      </c>
      <c r="D32" s="8">
        <f t="shared" si="1"/>
        <v>-0.2900000000000027</v>
      </c>
    </row>
    <row r="33" spans="1:4" ht="12.75">
      <c r="A33" s="9" t="s">
        <v>20</v>
      </c>
      <c r="B33" s="8">
        <v>17.65</v>
      </c>
      <c r="C33" s="13">
        <v>18.01</v>
      </c>
      <c r="D33" s="8">
        <f t="shared" si="1"/>
        <v>-0.360000000000003</v>
      </c>
    </row>
    <row r="34" spans="1:4" ht="12.75">
      <c r="A34" s="9" t="s">
        <v>21</v>
      </c>
      <c r="B34" s="8">
        <v>17.65</v>
      </c>
      <c r="C34" s="13">
        <v>12.67</v>
      </c>
      <c r="D34" s="13">
        <f t="shared" si="1"/>
        <v>4.979999999999999</v>
      </c>
    </row>
    <row r="35" spans="1:4" ht="12.75">
      <c r="A35" s="9" t="s">
        <v>22</v>
      </c>
      <c r="B35" s="8">
        <v>17.65</v>
      </c>
      <c r="C35" s="13">
        <v>22</v>
      </c>
      <c r="D35" s="13">
        <f t="shared" si="1"/>
        <v>-4.350000000000001</v>
      </c>
    </row>
    <row r="36" spans="1:4" ht="12.75">
      <c r="A36" s="9" t="s">
        <v>23</v>
      </c>
      <c r="B36" s="8">
        <v>13.25</v>
      </c>
      <c r="C36" s="13">
        <v>12.98</v>
      </c>
      <c r="D36" s="13">
        <f t="shared" si="1"/>
        <v>0.2699999999999996</v>
      </c>
    </row>
    <row r="37" spans="1:4" ht="12.75">
      <c r="A37" s="9" t="s">
        <v>26</v>
      </c>
      <c r="B37" s="8">
        <f>B11+B24</f>
        <v>1938503.04</v>
      </c>
      <c r="C37" s="8">
        <f>C11+C24</f>
        <v>1867072.63</v>
      </c>
      <c r="D37" s="8">
        <f>D11+D24</f>
        <v>71430.41</v>
      </c>
    </row>
    <row r="39" spans="1:4" ht="12.75">
      <c r="A39" t="s">
        <v>27</v>
      </c>
      <c r="D39" s="12">
        <f>D37</f>
        <v>71430.41</v>
      </c>
    </row>
    <row r="41" spans="1:4" ht="12.75">
      <c r="A41" s="11" t="s">
        <v>28</v>
      </c>
      <c r="D41" s="12">
        <f>D42+D43</f>
        <v>121210.308</v>
      </c>
    </row>
    <row r="42" spans="1:4" ht="12.75" hidden="1">
      <c r="A42" s="11" t="s">
        <v>29</v>
      </c>
      <c r="D42" s="12">
        <f>(1.33*4*D3)+(1.21*8*D3)</f>
        <v>101686.5</v>
      </c>
    </row>
    <row r="43" spans="1:4" ht="12.75" hidden="1">
      <c r="A43" s="11" t="s">
        <v>30</v>
      </c>
      <c r="D43" s="12">
        <f>(0.24*12*D3)</f>
        <v>19523.808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1343*0.22*4+(1343*2.5)</f>
        <v>4539.34</v>
      </c>
    </row>
    <row r="46" spans="1:4" ht="12.75">
      <c r="A46" s="11" t="s">
        <v>80</v>
      </c>
      <c r="D46" s="12">
        <f>(2.66*4*D3)+(2.42*8*D3)</f>
        <v>203373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14642.856000000002</v>
      </c>
    </row>
    <row r="49" spans="1:4" ht="12.75">
      <c r="A49" s="11" t="s">
        <v>33</v>
      </c>
      <c r="D49" s="12">
        <f>(1.45*4*D3)+(1.32*8*D3)</f>
        <v>110906.076</v>
      </c>
    </row>
    <row r="50" spans="1:4" ht="12.75">
      <c r="A50" s="11" t="s">
        <v>34</v>
      </c>
      <c r="D50" s="12">
        <f>(4.94*4*D3)+(4.51*8*D3)</f>
        <v>378544.944</v>
      </c>
    </row>
    <row r="51" spans="1:4" ht="12.75">
      <c r="A51" s="11" t="s">
        <v>35</v>
      </c>
      <c r="D51" s="12">
        <f>(0.29*4*D3)+(0.26*8*D3)</f>
        <v>21964.284000000003</v>
      </c>
    </row>
    <row r="52" spans="1:4" ht="12.75">
      <c r="A52" s="11" t="s">
        <v>78</v>
      </c>
      <c r="D52" s="12">
        <f>(3.87*4*D3)+(3.52*8*D3)</f>
        <v>295839.924</v>
      </c>
    </row>
    <row r="53" spans="1:4" ht="12.75">
      <c r="A53" s="11" t="s">
        <v>36</v>
      </c>
      <c r="D53" s="12">
        <f>2.25*12*D4</f>
        <v>3213</v>
      </c>
    </row>
    <row r="54" spans="1:4" ht="12.75">
      <c r="A54" s="11" t="s">
        <v>37</v>
      </c>
      <c r="D54" s="12">
        <v>419512.8</v>
      </c>
    </row>
    <row r="55" spans="1:4" ht="12.75">
      <c r="A55" s="11" t="s">
        <v>38</v>
      </c>
      <c r="D55" s="12">
        <f>(0.7*4*D3)+(0.64*8*D3)</f>
        <v>53690.47200000001</v>
      </c>
    </row>
    <row r="56" spans="1:4" ht="12.75" hidden="1">
      <c r="A56" s="14" t="s">
        <v>62</v>
      </c>
      <c r="D56" s="12">
        <v>0</v>
      </c>
    </row>
    <row r="57" spans="1:4" ht="12.75">
      <c r="A57" s="11" t="s">
        <v>64</v>
      </c>
      <c r="D57" s="12">
        <f>(4.66*4*D3)+(4.24*8*D3)</f>
        <v>356309.49600000004</v>
      </c>
    </row>
    <row r="58" spans="1:4" ht="12.75">
      <c r="A58" s="11"/>
      <c r="D58" s="12"/>
    </row>
    <row r="59" spans="1:4" ht="12.75">
      <c r="A59" s="11" t="s">
        <v>39</v>
      </c>
      <c r="D59" s="12">
        <f>D41+D44+D46+D47+D49+D50+D51+D52+D53+D54+D55+D56+D57-D56+D45+D48</f>
        <v>1983746.5</v>
      </c>
    </row>
    <row r="60" spans="1:4" ht="12.75">
      <c r="A60" s="11"/>
      <c r="D60" s="12"/>
    </row>
    <row r="61" spans="1:4" ht="12.75">
      <c r="A61" t="s">
        <v>66</v>
      </c>
      <c r="D61" s="12">
        <f>C37-D59</f>
        <v>-116673.87000000011</v>
      </c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H118"/>
  <sheetViews>
    <sheetView zoomScalePageLayoutView="0" workbookViewId="0" topLeftCell="A1">
      <selection activeCell="J67" sqref="J67"/>
    </sheetView>
  </sheetViews>
  <sheetFormatPr defaultColWidth="9.140625" defaultRowHeight="12.75"/>
  <cols>
    <col min="1" max="1" width="15.140625" style="0" customWidth="1"/>
    <col min="2" max="2" width="14.140625" style="0" customWidth="1"/>
    <col min="3" max="3" width="14.7109375" style="0" customWidth="1"/>
    <col min="4" max="4" width="18.28125" style="0" customWidth="1"/>
    <col min="5" max="5" width="4.7109375" style="0" customWidth="1"/>
    <col min="6" max="6" width="3.28125" style="0" customWidth="1"/>
    <col min="8" max="8" width="13.421875" style="0" bestFit="1" customWidth="1"/>
  </cols>
  <sheetData>
    <row r="1" spans="1:7" ht="12.75">
      <c r="A1" s="1" t="s">
        <v>0</v>
      </c>
      <c r="B1" s="2" t="s">
        <v>1</v>
      </c>
      <c r="C1" s="1" t="s">
        <v>48</v>
      </c>
      <c r="D1" s="1"/>
      <c r="E1" s="1" t="s">
        <v>2</v>
      </c>
      <c r="F1" s="3">
        <v>34</v>
      </c>
      <c r="G1">
        <v>2016</v>
      </c>
    </row>
    <row r="3" spans="1:5" ht="12.75">
      <c r="A3" t="s">
        <v>3</v>
      </c>
      <c r="D3" s="4">
        <v>9030.4</v>
      </c>
      <c r="E3" s="5" t="s">
        <v>40</v>
      </c>
    </row>
    <row r="4" spans="1:5" ht="12.75">
      <c r="A4" t="s">
        <v>4</v>
      </c>
      <c r="D4" s="4">
        <v>161</v>
      </c>
      <c r="E4" s="5"/>
    </row>
    <row r="5" spans="1:5" ht="12.75">
      <c r="A5" t="s">
        <v>5</v>
      </c>
      <c r="D5" s="4">
        <v>378</v>
      </c>
      <c r="E5" s="5" t="s">
        <v>6</v>
      </c>
    </row>
    <row r="6" spans="1:5" ht="12.75">
      <c r="A6" t="s">
        <v>7</v>
      </c>
      <c r="D6" s="4">
        <v>1551.4</v>
      </c>
      <c r="E6" s="5" t="s">
        <v>40</v>
      </c>
    </row>
    <row r="7" spans="1:5" ht="12.75">
      <c r="A7" t="s">
        <v>8</v>
      </c>
      <c r="D7" s="4">
        <v>8050</v>
      </c>
      <c r="E7" s="5" t="s">
        <v>40</v>
      </c>
    </row>
    <row r="8" ht="12.75" hidden="1"/>
    <row r="9" ht="12.75" hidden="1"/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2580953.8000000003</v>
      </c>
      <c r="C11" s="8">
        <f>SUM(C12:C23)</f>
        <v>2538366.73</v>
      </c>
      <c r="D11" s="8">
        <f>SUM(D12:D23)</f>
        <v>42587.070000000094</v>
      </c>
    </row>
    <row r="12" spans="1:4" ht="12.75">
      <c r="A12" s="9" t="s">
        <v>25</v>
      </c>
      <c r="B12" s="8">
        <v>208028.78</v>
      </c>
      <c r="C12" s="8">
        <v>178412.26</v>
      </c>
      <c r="D12" s="8">
        <f aca="true" t="shared" si="0" ref="D12:D23">B12-C12</f>
        <v>29616.51999999999</v>
      </c>
    </row>
    <row r="13" spans="1:4" ht="12.75">
      <c r="A13" s="9" t="s">
        <v>13</v>
      </c>
      <c r="B13" s="8">
        <v>208028.78</v>
      </c>
      <c r="C13" s="13">
        <v>195582.49</v>
      </c>
      <c r="D13" s="8">
        <f t="shared" si="0"/>
        <v>12446.290000000008</v>
      </c>
    </row>
    <row r="14" spans="1:4" ht="12.75">
      <c r="A14" s="9" t="s">
        <v>14</v>
      </c>
      <c r="B14" s="8">
        <v>208028.78</v>
      </c>
      <c r="C14" s="13">
        <v>194742.17</v>
      </c>
      <c r="D14" s="8">
        <f t="shared" si="0"/>
        <v>13286.609999999986</v>
      </c>
    </row>
    <row r="15" spans="1:4" ht="12.75">
      <c r="A15" s="9" t="s">
        <v>15</v>
      </c>
      <c r="B15" s="8">
        <v>208028.78</v>
      </c>
      <c r="C15" s="13">
        <v>213205.77</v>
      </c>
      <c r="D15" s="8">
        <f t="shared" si="0"/>
        <v>-5176.989999999991</v>
      </c>
    </row>
    <row r="16" spans="1:4" ht="12.75">
      <c r="A16" s="9" t="s">
        <v>16</v>
      </c>
      <c r="B16" s="8">
        <v>208028.78</v>
      </c>
      <c r="C16" s="13">
        <v>209408.46</v>
      </c>
      <c r="D16" s="8">
        <f t="shared" si="0"/>
        <v>-1379.679999999993</v>
      </c>
    </row>
    <row r="17" spans="1:4" ht="12.75">
      <c r="A17" s="9" t="s">
        <v>17</v>
      </c>
      <c r="B17" s="8">
        <v>208028.78</v>
      </c>
      <c r="C17" s="13">
        <v>195520.13</v>
      </c>
      <c r="D17" s="8">
        <f t="shared" si="0"/>
        <v>12508.649999999994</v>
      </c>
    </row>
    <row r="18" spans="1:4" ht="12.75">
      <c r="A18" s="9" t="s">
        <v>18</v>
      </c>
      <c r="B18" s="8">
        <v>208028.78</v>
      </c>
      <c r="C18" s="13">
        <v>191762.36</v>
      </c>
      <c r="D18" s="8">
        <f t="shared" si="0"/>
        <v>16266.420000000013</v>
      </c>
    </row>
    <row r="19" spans="1:4" ht="12.75">
      <c r="A19" s="9" t="s">
        <v>19</v>
      </c>
      <c r="B19" s="8">
        <v>208028.78</v>
      </c>
      <c r="C19" s="13">
        <v>223737.55</v>
      </c>
      <c r="D19" s="8">
        <f t="shared" si="0"/>
        <v>-15708.76999999999</v>
      </c>
    </row>
    <row r="20" spans="1:4" ht="12.75">
      <c r="A20" s="9" t="s">
        <v>20</v>
      </c>
      <c r="B20" s="13">
        <v>229180.89</v>
      </c>
      <c r="C20" s="13">
        <v>241352.4</v>
      </c>
      <c r="D20" s="8">
        <f t="shared" si="0"/>
        <v>-12171.50999999998</v>
      </c>
    </row>
    <row r="21" spans="1:4" ht="12.75">
      <c r="A21" s="9" t="s">
        <v>21</v>
      </c>
      <c r="B21" s="13">
        <v>229180.89</v>
      </c>
      <c r="C21" s="13">
        <v>226996.12</v>
      </c>
      <c r="D21" s="13">
        <f t="shared" si="0"/>
        <v>2184.7700000000186</v>
      </c>
    </row>
    <row r="22" spans="1:4" ht="12.75">
      <c r="A22" s="9" t="s">
        <v>22</v>
      </c>
      <c r="B22" s="13">
        <v>229180.89</v>
      </c>
      <c r="C22" s="13">
        <v>232231.16</v>
      </c>
      <c r="D22" s="13">
        <f t="shared" si="0"/>
        <v>-3050.2699999999895</v>
      </c>
    </row>
    <row r="23" spans="1:4" ht="12.75">
      <c r="A23" s="9" t="s">
        <v>23</v>
      </c>
      <c r="B23" s="13">
        <v>229180.89</v>
      </c>
      <c r="C23" s="13">
        <v>235415.86</v>
      </c>
      <c r="D23" s="13">
        <f t="shared" si="0"/>
        <v>-6234.969999999972</v>
      </c>
    </row>
    <row r="24" spans="1:4" ht="12.75">
      <c r="A24" s="7" t="s">
        <v>24</v>
      </c>
      <c r="B24" s="8">
        <f>SUM(B25:B36)</f>
        <v>594.2199999999999</v>
      </c>
      <c r="C24" s="8">
        <f>SUM(C25:C36)</f>
        <v>542.3</v>
      </c>
      <c r="D24" s="8">
        <f>SUM(D25:D36)</f>
        <v>51.91999999999999</v>
      </c>
    </row>
    <row r="25" spans="1:4" ht="12.75">
      <c r="A25" s="9" t="s">
        <v>25</v>
      </c>
      <c r="B25" s="8">
        <v>53.57</v>
      </c>
      <c r="C25" s="8">
        <v>46.31</v>
      </c>
      <c r="D25" s="8">
        <f aca="true" t="shared" si="1" ref="D25:D36">B25-C25</f>
        <v>7.259999999999998</v>
      </c>
    </row>
    <row r="26" spans="1:4" ht="12.75">
      <c r="A26" s="9" t="s">
        <v>13</v>
      </c>
      <c r="B26" s="8">
        <v>49.15</v>
      </c>
      <c r="C26" s="13">
        <v>40.81</v>
      </c>
      <c r="D26" s="8">
        <f t="shared" si="1"/>
        <v>8.339999999999996</v>
      </c>
    </row>
    <row r="27" spans="1:4" ht="12.75">
      <c r="A27" s="9" t="s">
        <v>14</v>
      </c>
      <c r="B27" s="8">
        <v>49.15</v>
      </c>
      <c r="C27" s="13">
        <v>43.69</v>
      </c>
      <c r="D27" s="8">
        <f t="shared" si="1"/>
        <v>5.460000000000001</v>
      </c>
    </row>
    <row r="28" spans="1:4" ht="12.75">
      <c r="A28" s="9" t="s">
        <v>15</v>
      </c>
      <c r="B28" s="8">
        <v>49.15</v>
      </c>
      <c r="C28" s="13">
        <v>40.88</v>
      </c>
      <c r="D28" s="8">
        <f t="shared" si="1"/>
        <v>8.269999999999996</v>
      </c>
    </row>
    <row r="29" spans="1:4" ht="12.75">
      <c r="A29" s="9" t="s">
        <v>16</v>
      </c>
      <c r="B29" s="8">
        <v>49.15</v>
      </c>
      <c r="C29" s="13">
        <v>47.05</v>
      </c>
      <c r="D29" s="8">
        <f t="shared" si="1"/>
        <v>2.1000000000000014</v>
      </c>
    </row>
    <row r="30" spans="1:4" ht="12.75">
      <c r="A30" s="9" t="s">
        <v>17</v>
      </c>
      <c r="B30" s="8">
        <v>49.15</v>
      </c>
      <c r="C30" s="13">
        <v>41.4</v>
      </c>
      <c r="D30" s="8">
        <f t="shared" si="1"/>
        <v>7.75</v>
      </c>
    </row>
    <row r="31" spans="1:4" ht="12.75">
      <c r="A31" s="9" t="s">
        <v>18</v>
      </c>
      <c r="B31" s="8">
        <v>49.15</v>
      </c>
      <c r="C31" s="13">
        <v>36.65</v>
      </c>
      <c r="D31" s="8">
        <f t="shared" si="1"/>
        <v>12.5</v>
      </c>
    </row>
    <row r="32" spans="1:4" ht="12.75">
      <c r="A32" s="9" t="s">
        <v>19</v>
      </c>
      <c r="B32" s="8">
        <v>49.15</v>
      </c>
      <c r="C32" s="13">
        <v>64.33</v>
      </c>
      <c r="D32" s="8">
        <f t="shared" si="1"/>
        <v>-15.18</v>
      </c>
    </row>
    <row r="33" spans="1:4" ht="12.75">
      <c r="A33" s="9" t="s">
        <v>20</v>
      </c>
      <c r="B33" s="8">
        <v>49.15</v>
      </c>
      <c r="C33" s="13">
        <v>40.08</v>
      </c>
      <c r="D33" s="8">
        <f t="shared" si="1"/>
        <v>9.07</v>
      </c>
    </row>
    <row r="34" spans="1:4" ht="12.75">
      <c r="A34" s="9" t="s">
        <v>21</v>
      </c>
      <c r="B34" s="8">
        <v>49.15</v>
      </c>
      <c r="C34" s="13">
        <v>52.42</v>
      </c>
      <c r="D34" s="13">
        <f t="shared" si="1"/>
        <v>-3.270000000000003</v>
      </c>
    </row>
    <row r="35" spans="1:4" ht="12.75">
      <c r="A35" s="9" t="s">
        <v>22</v>
      </c>
      <c r="B35" s="8">
        <v>49.15</v>
      </c>
      <c r="C35" s="13">
        <v>43.85</v>
      </c>
      <c r="D35" s="13">
        <f t="shared" si="1"/>
        <v>5.299999999999997</v>
      </c>
    </row>
    <row r="36" spans="1:4" ht="12.75">
      <c r="A36" s="9" t="s">
        <v>23</v>
      </c>
      <c r="B36" s="8">
        <v>49.15</v>
      </c>
      <c r="C36" s="13">
        <v>44.83</v>
      </c>
      <c r="D36" s="13">
        <f t="shared" si="1"/>
        <v>4.32</v>
      </c>
    </row>
    <row r="37" spans="1:4" ht="12.75">
      <c r="A37" s="9" t="s">
        <v>26</v>
      </c>
      <c r="B37" s="8">
        <f>B11+B24</f>
        <v>2581548.0200000005</v>
      </c>
      <c r="C37" s="8">
        <f>C11+C24</f>
        <v>2538909.03</v>
      </c>
      <c r="D37" s="8">
        <f>D11+D24</f>
        <v>42638.99000000009</v>
      </c>
    </row>
    <row r="39" spans="1:4" ht="12.75">
      <c r="A39" t="s">
        <v>27</v>
      </c>
      <c r="D39" s="12">
        <f>D37</f>
        <v>42638.99000000009</v>
      </c>
    </row>
    <row r="41" spans="1:8" ht="12" customHeight="1">
      <c r="A41" s="11" t="s">
        <v>28</v>
      </c>
      <c r="D41" s="12">
        <f>D42+D43</f>
        <v>161463.552</v>
      </c>
      <c r="H41" s="12"/>
    </row>
    <row r="42" spans="1:4" ht="12.75" hidden="1">
      <c r="A42" s="11" t="s">
        <v>29</v>
      </c>
      <c r="D42" s="12">
        <f>(1.33*4*D3)+(1.21*8*D3)</f>
        <v>135456</v>
      </c>
    </row>
    <row r="43" spans="1:4" ht="12.75" hidden="1">
      <c r="A43" s="11" t="s">
        <v>30</v>
      </c>
      <c r="D43" s="12">
        <f>(0.24*12*D3)</f>
        <v>26007.552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1821*0.22*4+(1821*2.5)</f>
        <v>6154.98</v>
      </c>
    </row>
    <row r="46" spans="1:4" ht="12.75">
      <c r="A46" s="11" t="s">
        <v>80</v>
      </c>
      <c r="D46" s="12">
        <f>(2.66*4*D3)+(2.42*8*D3)</f>
        <v>270912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19505.664</v>
      </c>
    </row>
    <row r="49" spans="1:4" ht="12.75">
      <c r="A49" s="11" t="s">
        <v>33</v>
      </c>
      <c r="D49" s="12">
        <f>(1.45*4*D3)+(1.32*8*D3)</f>
        <v>147737.344</v>
      </c>
    </row>
    <row r="50" spans="1:4" ht="12.75">
      <c r="A50" s="11" t="s">
        <v>34</v>
      </c>
      <c r="D50" s="12">
        <f>(4.94*4*D3)+(4.51*8*D3)</f>
        <v>504257.53599999996</v>
      </c>
    </row>
    <row r="51" spans="1:4" ht="12.75">
      <c r="A51" s="11" t="s">
        <v>35</v>
      </c>
      <c r="D51" s="12">
        <f>(0.29*4*D3)+(0.26*8*D3)</f>
        <v>29258.496</v>
      </c>
    </row>
    <row r="52" spans="1:4" ht="12.75">
      <c r="A52" s="11" t="s">
        <v>75</v>
      </c>
      <c r="D52" s="12">
        <f>(3.87*4*D3)+(3.52*8*D3)</f>
        <v>394086.65599999996</v>
      </c>
    </row>
    <row r="53" spans="1:4" ht="12.75">
      <c r="A53" s="11" t="s">
        <v>36</v>
      </c>
      <c r="D53" s="12">
        <f>2.25*12*D4</f>
        <v>4347</v>
      </c>
    </row>
    <row r="54" spans="1:4" ht="12.75">
      <c r="A54" s="11" t="s">
        <v>37</v>
      </c>
      <c r="D54" s="12">
        <v>567535.8</v>
      </c>
    </row>
    <row r="55" spans="1:4" ht="12.75">
      <c r="A55" s="11" t="s">
        <v>38</v>
      </c>
      <c r="D55" s="12">
        <f>(0.7*4*D3)+(0.64*8*D3)</f>
        <v>71520.768</v>
      </c>
    </row>
    <row r="56" spans="1:4" ht="12.75" hidden="1">
      <c r="A56" s="14" t="s">
        <v>62</v>
      </c>
      <c r="D56" s="12">
        <v>0</v>
      </c>
    </row>
    <row r="57" spans="1:4" ht="12.75">
      <c r="A57" s="11" t="s">
        <v>64</v>
      </c>
      <c r="D57" s="12">
        <f>(4.66*4*D3)+(4.24*8*D3)</f>
        <v>474637.824</v>
      </c>
    </row>
    <row r="58" spans="1:4" ht="12.75">
      <c r="A58" s="11"/>
      <c r="D58" s="12"/>
    </row>
    <row r="59" spans="1:4" ht="12.75">
      <c r="A59" s="11" t="s">
        <v>39</v>
      </c>
      <c r="D59" s="12">
        <f>D41+D44+D46+D47+D49+D50+D51+D52+D53+D54+D55+D56+D57-D56+D45+D48</f>
        <v>2651417.62</v>
      </c>
    </row>
    <row r="60" spans="1:4" ht="12.75">
      <c r="A60" s="11"/>
      <c r="D60" s="12"/>
    </row>
    <row r="61" spans="1:4" ht="12.75">
      <c r="A61" t="s">
        <v>66</v>
      </c>
      <c r="D61" s="12">
        <f>C37-D59</f>
        <v>-112508.59000000032</v>
      </c>
    </row>
    <row r="63" spans="1:8" ht="12.75">
      <c r="A63" s="23"/>
      <c r="B63" s="24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 customHeight="1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23"/>
      <c r="B70" s="23"/>
      <c r="C70" s="17"/>
      <c r="D70" s="23"/>
      <c r="E70" s="23"/>
      <c r="F70" s="23"/>
      <c r="G70" s="23"/>
      <c r="H70" s="23"/>
    </row>
    <row r="71" spans="1:8" ht="12.75">
      <c r="A71" s="23"/>
      <c r="B71" s="23"/>
      <c r="C71" s="17"/>
      <c r="D71" s="23"/>
      <c r="E71" s="23"/>
      <c r="F71" s="23"/>
      <c r="G71" s="23"/>
      <c r="H71" s="23"/>
    </row>
    <row r="72" spans="1:8" ht="12.75">
      <c r="A72" s="23"/>
      <c r="B72" s="23"/>
      <c r="C72" s="17"/>
      <c r="D72" s="23"/>
      <c r="E72" s="23"/>
      <c r="F72" s="23"/>
      <c r="G72" s="23"/>
      <c r="H72" s="23"/>
    </row>
    <row r="73" spans="1:8" ht="12.75">
      <c r="A73" s="23"/>
      <c r="B73" s="23"/>
      <c r="C73" s="17"/>
      <c r="D73" s="23"/>
      <c r="E73" s="23"/>
      <c r="F73" s="23"/>
      <c r="G73" s="23"/>
      <c r="H73" s="25"/>
    </row>
    <row r="74" spans="1:8" ht="12.75">
      <c r="A74" s="23"/>
      <c r="B74" s="23"/>
      <c r="C74" s="17"/>
      <c r="D74" s="23"/>
      <c r="E74" s="23"/>
      <c r="F74" s="23"/>
      <c r="G74" s="23"/>
      <c r="H74" s="25"/>
    </row>
    <row r="75" spans="1:8" ht="12.75">
      <c r="A75" s="23"/>
      <c r="B75" s="23"/>
      <c r="C75" s="17"/>
      <c r="D75" s="23"/>
      <c r="E75" s="23"/>
      <c r="F75" s="23"/>
      <c r="G75" s="23"/>
      <c r="H75" s="25"/>
    </row>
    <row r="76" spans="1:8" ht="12.75">
      <c r="A76" s="23"/>
      <c r="B76" s="23"/>
      <c r="C76" s="17"/>
      <c r="D76" s="23"/>
      <c r="E76" s="23"/>
      <c r="F76" s="23"/>
      <c r="G76" s="23"/>
      <c r="H76" s="25"/>
    </row>
    <row r="77" spans="1:8" ht="12.75">
      <c r="A77" s="23"/>
      <c r="B77" s="23"/>
      <c r="C77" s="17"/>
      <c r="D77" s="23"/>
      <c r="E77" s="23"/>
      <c r="F77" s="23"/>
      <c r="G77" s="23"/>
      <c r="H77" s="25"/>
    </row>
    <row r="78" spans="1:8" ht="12.75">
      <c r="A78" s="23"/>
      <c r="B78" s="23"/>
      <c r="C78" s="17"/>
      <c r="D78" s="23"/>
      <c r="E78" s="23"/>
      <c r="F78" s="23"/>
      <c r="G78" s="23"/>
      <c r="H78" s="23"/>
    </row>
    <row r="79" spans="1:8" ht="12.75">
      <c r="A79" s="23"/>
      <c r="B79" s="23"/>
      <c r="C79" s="17"/>
      <c r="D79" s="23"/>
      <c r="E79" s="23"/>
      <c r="F79" s="23"/>
      <c r="G79" s="23"/>
      <c r="H79" s="23"/>
    </row>
    <row r="80" spans="1:8" ht="12.75">
      <c r="A80" s="23"/>
      <c r="B80" s="23"/>
      <c r="C80" s="17"/>
      <c r="D80" s="23"/>
      <c r="E80" s="23"/>
      <c r="F80" s="23"/>
      <c r="G80" s="23"/>
      <c r="H80" s="23"/>
    </row>
    <row r="81" spans="1:8" ht="12.75">
      <c r="A81" s="23"/>
      <c r="B81" s="23"/>
      <c r="C81" s="17"/>
      <c r="D81" s="23"/>
      <c r="E81" s="23"/>
      <c r="F81" s="23"/>
      <c r="G81" s="23"/>
      <c r="H81" s="23"/>
    </row>
    <row r="82" spans="1:8" ht="12.75">
      <c r="A82" s="23"/>
      <c r="B82" s="23"/>
      <c r="C82" s="17"/>
      <c r="D82" s="23"/>
      <c r="E82" s="23"/>
      <c r="F82" s="23"/>
      <c r="G82" s="23"/>
      <c r="H82" s="23"/>
    </row>
    <row r="83" spans="1:8" ht="12.75">
      <c r="A83" s="23"/>
      <c r="B83" s="23"/>
      <c r="C83" s="17"/>
      <c r="D83" s="23"/>
      <c r="E83" s="23"/>
      <c r="F83" s="23"/>
      <c r="G83" s="23"/>
      <c r="H83" s="23"/>
    </row>
    <row r="84" spans="1:8" ht="12.75">
      <c r="A84" s="17"/>
      <c r="B84" s="23"/>
      <c r="C84" s="17"/>
      <c r="D84" s="23"/>
      <c r="E84" s="23"/>
      <c r="F84" s="23"/>
      <c r="G84" s="23"/>
      <c r="H84" s="23"/>
    </row>
    <row r="85" spans="1:8" ht="12.75">
      <c r="A85" s="17"/>
      <c r="B85" s="23"/>
      <c r="C85" s="17"/>
      <c r="D85" s="23"/>
      <c r="E85" s="23"/>
      <c r="F85" s="23"/>
      <c r="G85" s="23"/>
      <c r="H85" s="23"/>
    </row>
    <row r="86" spans="1:8" ht="12.75">
      <c r="A86" s="23"/>
      <c r="B86" s="23"/>
      <c r="C86" s="17"/>
      <c r="D86" s="23"/>
      <c r="E86" s="23"/>
      <c r="F86" s="23"/>
      <c r="G86" s="23"/>
      <c r="H86" s="23"/>
    </row>
    <row r="87" spans="1:8" ht="12.75">
      <c r="A87" s="23"/>
      <c r="B87" s="23"/>
      <c r="C87" s="17"/>
      <c r="D87" s="23"/>
      <c r="E87" s="23"/>
      <c r="F87" s="23"/>
      <c r="G87" s="23"/>
      <c r="H87" s="23"/>
    </row>
    <row r="88" spans="1:8" ht="12.75">
      <c r="A88" s="23"/>
      <c r="B88" s="23"/>
      <c r="C88" s="17"/>
      <c r="D88" s="23"/>
      <c r="E88" s="23"/>
      <c r="F88" s="23"/>
      <c r="G88" s="23"/>
      <c r="H88" s="23"/>
    </row>
    <row r="89" spans="1:8" ht="12.75">
      <c r="A89" s="23"/>
      <c r="B89" s="23"/>
      <c r="C89" s="17"/>
      <c r="D89" s="23"/>
      <c r="E89" s="23"/>
      <c r="F89" s="23"/>
      <c r="G89" s="23"/>
      <c r="H89" s="23"/>
    </row>
    <row r="90" spans="1:8" ht="12.75">
      <c r="A90" s="23"/>
      <c r="B90" s="23"/>
      <c r="C90" s="23"/>
      <c r="D90" s="23"/>
      <c r="E90" s="23"/>
      <c r="F90" s="23"/>
      <c r="G90" s="23"/>
      <c r="H90" s="23"/>
    </row>
    <row r="91" spans="1:8" ht="12.75">
      <c r="A91" s="23"/>
      <c r="B91" s="23"/>
      <c r="C91" s="23"/>
      <c r="D91" s="23"/>
      <c r="E91" s="23"/>
      <c r="F91" s="23"/>
      <c r="G91" s="23"/>
      <c r="H91" s="23"/>
    </row>
    <row r="92" spans="1:8" ht="12.75">
      <c r="A92" s="23"/>
      <c r="B92" s="23"/>
      <c r="C92" s="23"/>
      <c r="D92" s="23"/>
      <c r="E92" s="23"/>
      <c r="F92" s="23"/>
      <c r="G92" s="23"/>
      <c r="H92" s="23"/>
    </row>
    <row r="93" spans="1:8" ht="12.75">
      <c r="A93" s="23"/>
      <c r="B93" s="23"/>
      <c r="C93" s="23"/>
      <c r="D93" s="23"/>
      <c r="E93" s="23"/>
      <c r="F93" s="23"/>
      <c r="G93" s="23"/>
      <c r="H93" s="23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8" ht="12.75">
      <c r="A95" s="17"/>
      <c r="B95" s="23"/>
      <c r="C95" s="23"/>
      <c r="D95" s="23"/>
      <c r="E95" s="23"/>
      <c r="F95" s="23"/>
      <c r="G95" s="23"/>
      <c r="H95" s="23"/>
    </row>
    <row r="96" spans="1:8" ht="12.75">
      <c r="A96" s="17"/>
      <c r="B96" s="23"/>
      <c r="C96" s="23"/>
      <c r="D96" s="23"/>
      <c r="E96" s="23"/>
      <c r="F96" s="23"/>
      <c r="G96" s="23"/>
      <c r="H96" s="23"/>
    </row>
    <row r="97" spans="1:8" ht="12.75">
      <c r="A97" s="17"/>
      <c r="B97" s="23"/>
      <c r="C97" s="23"/>
      <c r="D97" s="23"/>
      <c r="E97" s="23"/>
      <c r="F97" s="23"/>
      <c r="G97" s="23"/>
      <c r="H97" s="23"/>
    </row>
    <row r="98" spans="1:8" ht="12.75">
      <c r="A98" s="17"/>
      <c r="B98" s="23"/>
      <c r="C98" s="23"/>
      <c r="D98" s="23"/>
      <c r="E98" s="23"/>
      <c r="F98" s="23"/>
      <c r="G98" s="23"/>
      <c r="H98" s="23"/>
    </row>
    <row r="99" spans="1:8" ht="12.75">
      <c r="A99" s="17"/>
      <c r="B99" s="23"/>
      <c r="C99" s="23"/>
      <c r="D99" s="23"/>
      <c r="E99" s="23"/>
      <c r="F99" s="23"/>
      <c r="G99" s="23"/>
      <c r="H99" s="23"/>
    </row>
    <row r="100" spans="1:8" ht="12.75">
      <c r="A100" s="23"/>
      <c r="B100" s="23"/>
      <c r="C100" s="23"/>
      <c r="D100" s="23"/>
      <c r="E100" s="23"/>
      <c r="F100" s="23"/>
      <c r="G100" s="23"/>
      <c r="H100" s="23"/>
    </row>
    <row r="101" spans="1:8" ht="12.75">
      <c r="A101" s="17"/>
      <c r="B101" s="23"/>
      <c r="C101" s="23"/>
      <c r="D101" s="23"/>
      <c r="E101" s="23"/>
      <c r="F101" s="23"/>
      <c r="G101" s="23"/>
      <c r="H101" s="23"/>
    </row>
    <row r="102" spans="1:8" ht="12.75">
      <c r="A102" s="17"/>
      <c r="B102" s="23"/>
      <c r="C102" s="23"/>
      <c r="D102" s="23"/>
      <c r="E102" s="23"/>
      <c r="F102" s="23"/>
      <c r="G102" s="23"/>
      <c r="H102" s="23"/>
    </row>
    <row r="103" spans="1:8" ht="12.75">
      <c r="A103" s="17"/>
      <c r="B103" s="23"/>
      <c r="C103" s="23"/>
      <c r="D103" s="23"/>
      <c r="E103" s="23"/>
      <c r="F103" s="23"/>
      <c r="G103" s="23"/>
      <c r="H103" s="23"/>
    </row>
    <row r="104" spans="1:8" ht="12.75">
      <c r="A104" s="17"/>
      <c r="B104" s="23"/>
      <c r="C104" s="23"/>
      <c r="D104" s="23"/>
      <c r="E104" s="23"/>
      <c r="F104" s="23"/>
      <c r="G104" s="23"/>
      <c r="H104" s="23"/>
    </row>
    <row r="105" spans="1:8" ht="12.75">
      <c r="A105" s="17"/>
      <c r="B105" s="23"/>
      <c r="C105" s="23"/>
      <c r="D105" s="23"/>
      <c r="E105" s="23"/>
      <c r="F105" s="23"/>
      <c r="G105" s="23"/>
      <c r="H105" s="23"/>
    </row>
    <row r="106" spans="1:8" ht="12.75">
      <c r="A106" s="17"/>
      <c r="B106" s="23"/>
      <c r="C106" s="23"/>
      <c r="D106" s="23"/>
      <c r="E106" s="23"/>
      <c r="F106" s="23"/>
      <c r="G106" s="23"/>
      <c r="H106" s="23"/>
    </row>
    <row r="107" spans="1:8" ht="12.75">
      <c r="A107" s="17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 hidden="1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23"/>
      <c r="B112" s="23"/>
      <c r="C112" s="23"/>
      <c r="D112" s="23"/>
      <c r="E112" s="23"/>
      <c r="F112" s="23"/>
      <c r="G112" s="23"/>
      <c r="H112" s="23"/>
    </row>
    <row r="113" spans="1:8" ht="12.75">
      <c r="A113" s="23"/>
      <c r="B113" s="23"/>
      <c r="C113" s="23"/>
      <c r="D113" s="23"/>
      <c r="E113" s="23"/>
      <c r="F113" s="23"/>
      <c r="G113" s="23"/>
      <c r="H113" s="23"/>
    </row>
    <row r="114" spans="1:8" ht="12.75">
      <c r="A114" s="23"/>
      <c r="B114" s="23"/>
      <c r="C114" s="23"/>
      <c r="D114" s="23"/>
      <c r="E114" s="23"/>
      <c r="F114" s="23"/>
      <c r="G114" s="23"/>
      <c r="H114" s="23"/>
    </row>
    <row r="115" spans="1:8" ht="12.75">
      <c r="A115" s="23"/>
      <c r="B115" s="23"/>
      <c r="C115" s="23"/>
      <c r="D115" s="23"/>
      <c r="E115" s="23"/>
      <c r="F115" s="23"/>
      <c r="G115" s="23"/>
      <c r="H115" s="23"/>
    </row>
    <row r="116" spans="1:8" ht="12.75">
      <c r="A116" s="23"/>
      <c r="B116" s="23"/>
      <c r="C116" s="23"/>
      <c r="D116" s="23"/>
      <c r="E116" s="23"/>
      <c r="F116" s="23"/>
      <c r="G116" s="23"/>
      <c r="H116" s="23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  <row r="118" spans="1:8" ht="12.75">
      <c r="A118" s="23"/>
      <c r="B118" s="23"/>
      <c r="C118" s="23"/>
      <c r="D118" s="23"/>
      <c r="E118" s="23"/>
      <c r="F118" s="23"/>
      <c r="G118" s="23"/>
      <c r="H118" s="23"/>
    </row>
  </sheetData>
  <sheetProtection/>
  <printOptions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95"/>
  <sheetViews>
    <sheetView zoomScalePageLayoutView="0" workbookViewId="0" topLeftCell="A1">
      <selection activeCell="K63" sqref="K63"/>
    </sheetView>
  </sheetViews>
  <sheetFormatPr defaultColWidth="9.140625" defaultRowHeight="12.75"/>
  <cols>
    <col min="1" max="1" width="13.7109375" style="0" customWidth="1"/>
    <col min="2" max="2" width="15.421875" style="0" customWidth="1"/>
    <col min="3" max="3" width="15.28125" style="0" customWidth="1"/>
    <col min="4" max="4" width="14.7109375" style="0" customWidth="1"/>
    <col min="5" max="5" width="5.28125" style="0" customWidth="1"/>
    <col min="6" max="6" width="4.28125" style="0" customWidth="1"/>
  </cols>
  <sheetData>
    <row r="1" spans="1:7" ht="12.75">
      <c r="A1" s="1" t="s">
        <v>0</v>
      </c>
      <c r="B1" s="2" t="s">
        <v>1</v>
      </c>
      <c r="C1" s="1" t="s">
        <v>48</v>
      </c>
      <c r="D1" s="1"/>
      <c r="E1" s="1" t="s">
        <v>2</v>
      </c>
      <c r="F1" s="3" t="s">
        <v>49</v>
      </c>
      <c r="G1">
        <v>2016</v>
      </c>
    </row>
    <row r="3" spans="1:5" ht="12.75">
      <c r="A3" t="s">
        <v>3</v>
      </c>
      <c r="D3" s="4">
        <v>4606.2</v>
      </c>
      <c r="E3" s="5" t="s">
        <v>40</v>
      </c>
    </row>
    <row r="4" spans="1:5" ht="12.75">
      <c r="A4" t="s">
        <v>4</v>
      </c>
      <c r="D4" s="4">
        <v>80</v>
      </c>
      <c r="E4" s="5"/>
    </row>
    <row r="5" spans="1:5" ht="12.75">
      <c r="A5" t="s">
        <v>5</v>
      </c>
      <c r="D5" s="4">
        <v>179</v>
      </c>
      <c r="E5" s="5" t="s">
        <v>6</v>
      </c>
    </row>
    <row r="6" spans="1:5" ht="12.75">
      <c r="A6" t="s">
        <v>7</v>
      </c>
      <c r="D6" s="4">
        <v>825.4</v>
      </c>
      <c r="E6" s="5" t="s">
        <v>40</v>
      </c>
    </row>
    <row r="7" spans="1:5" ht="12.75">
      <c r="A7" t="s">
        <v>8</v>
      </c>
      <c r="D7" s="4">
        <v>1445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1306409.4599999997</v>
      </c>
      <c r="C11" s="8">
        <f>SUM(C12:C23)</f>
        <v>1299767.4300000002</v>
      </c>
      <c r="D11" s="8">
        <f>SUM(D12:D23)</f>
        <v>6642.029999999955</v>
      </c>
    </row>
    <row r="12" spans="1:4" ht="12.75">
      <c r="A12" s="9" t="s">
        <v>25</v>
      </c>
      <c r="B12" s="8">
        <v>106218.89</v>
      </c>
      <c r="C12" s="8">
        <v>109041</v>
      </c>
      <c r="D12" s="8">
        <f aca="true" t="shared" si="0" ref="D12:D23">B12-C12</f>
        <v>-2822.1100000000006</v>
      </c>
    </row>
    <row r="13" spans="1:4" ht="12.75">
      <c r="A13" s="9" t="s">
        <v>13</v>
      </c>
      <c r="B13" s="8">
        <v>106218.89</v>
      </c>
      <c r="C13" s="13">
        <v>99240.44</v>
      </c>
      <c r="D13" s="8">
        <f t="shared" si="0"/>
        <v>6978.449999999997</v>
      </c>
    </row>
    <row r="14" spans="1:4" ht="12.75">
      <c r="A14" s="9" t="s">
        <v>14</v>
      </c>
      <c r="B14" s="8">
        <v>106218.89</v>
      </c>
      <c r="C14" s="13">
        <v>109918.46</v>
      </c>
      <c r="D14" s="8">
        <f t="shared" si="0"/>
        <v>-3699.570000000007</v>
      </c>
    </row>
    <row r="15" spans="1:4" ht="12.75">
      <c r="A15" s="9" t="s">
        <v>15</v>
      </c>
      <c r="B15" s="8">
        <v>106218.89</v>
      </c>
      <c r="C15" s="13">
        <v>108653.52</v>
      </c>
      <c r="D15" s="8">
        <f t="shared" si="0"/>
        <v>-2434.6300000000047</v>
      </c>
    </row>
    <row r="16" spans="1:4" ht="12.75">
      <c r="A16" s="9" t="s">
        <v>16</v>
      </c>
      <c r="B16" s="8">
        <v>106218.89</v>
      </c>
      <c r="C16" s="13">
        <v>90315.84</v>
      </c>
      <c r="D16" s="8">
        <f t="shared" si="0"/>
        <v>15903.050000000003</v>
      </c>
    </row>
    <row r="17" spans="1:4" ht="12.75">
      <c r="A17" s="9" t="s">
        <v>17</v>
      </c>
      <c r="B17" s="8">
        <v>106218.89</v>
      </c>
      <c r="C17" s="13">
        <v>90315.28</v>
      </c>
      <c r="D17" s="8">
        <f t="shared" si="0"/>
        <v>15903.61</v>
      </c>
    </row>
    <row r="18" spans="1:4" ht="12.75">
      <c r="A18" s="9" t="s">
        <v>18</v>
      </c>
      <c r="B18" s="8">
        <v>106218.89</v>
      </c>
      <c r="C18" s="13">
        <v>113466.5</v>
      </c>
      <c r="D18" s="8">
        <f t="shared" si="0"/>
        <v>-7247.610000000001</v>
      </c>
    </row>
    <row r="19" spans="1:4" ht="12.75">
      <c r="A19" s="9" t="s">
        <v>19</v>
      </c>
      <c r="B19" s="8">
        <v>106218.89</v>
      </c>
      <c r="C19" s="13">
        <v>102851.52</v>
      </c>
      <c r="D19" s="8">
        <f t="shared" si="0"/>
        <v>3367.3699999999953</v>
      </c>
    </row>
    <row r="20" spans="1:4" ht="12.75">
      <c r="A20" s="9" t="s">
        <v>20</v>
      </c>
      <c r="B20" s="13">
        <v>116813.15</v>
      </c>
      <c r="C20" s="13">
        <v>103456.08</v>
      </c>
      <c r="D20" s="8">
        <f t="shared" si="0"/>
        <v>13357.069999999992</v>
      </c>
    </row>
    <row r="21" spans="1:4" ht="12.75">
      <c r="A21" s="9" t="s">
        <v>21</v>
      </c>
      <c r="B21" s="13">
        <v>116813.15</v>
      </c>
      <c r="C21" s="13">
        <v>141756.62</v>
      </c>
      <c r="D21" s="13">
        <f t="shared" si="0"/>
        <v>-24943.47</v>
      </c>
    </row>
    <row r="22" spans="1:4" ht="12.75">
      <c r="A22" s="9" t="s">
        <v>22</v>
      </c>
      <c r="B22" s="13">
        <v>116813.15</v>
      </c>
      <c r="C22" s="13">
        <v>107055.82</v>
      </c>
      <c r="D22" s="13">
        <f t="shared" si="0"/>
        <v>9757.329999999987</v>
      </c>
    </row>
    <row r="23" spans="1:4" ht="12.75">
      <c r="A23" s="9" t="s">
        <v>23</v>
      </c>
      <c r="B23" s="13">
        <v>106218.89</v>
      </c>
      <c r="C23" s="13">
        <v>123696.35</v>
      </c>
      <c r="D23" s="13">
        <f t="shared" si="0"/>
        <v>-17477.460000000006</v>
      </c>
    </row>
    <row r="24" spans="1:4" ht="12" customHeight="1" hidden="1">
      <c r="A24" s="7" t="s">
        <v>24</v>
      </c>
      <c r="B24" s="8">
        <f>SUM(B25:B36)</f>
        <v>0</v>
      </c>
      <c r="C24" s="8">
        <f>SUM(C25:C36)</f>
        <v>0</v>
      </c>
      <c r="D24" s="8">
        <f>SUM(D25:D36)</f>
        <v>0</v>
      </c>
    </row>
    <row r="25" spans="1:4" ht="12.75" hidden="1">
      <c r="A25" s="9" t="s">
        <v>25</v>
      </c>
      <c r="B25" s="8"/>
      <c r="C25" s="8"/>
      <c r="D25" s="8">
        <f aca="true" t="shared" si="1" ref="D25:D36">B25-C25</f>
        <v>0</v>
      </c>
    </row>
    <row r="26" spans="1:4" ht="12.75" hidden="1">
      <c r="A26" s="9" t="s">
        <v>13</v>
      </c>
      <c r="B26" s="13"/>
      <c r="C26" s="13"/>
      <c r="D26" s="8">
        <f t="shared" si="1"/>
        <v>0</v>
      </c>
    </row>
    <row r="27" spans="1:4" ht="12.75" hidden="1">
      <c r="A27" s="9" t="s">
        <v>14</v>
      </c>
      <c r="B27" s="13"/>
      <c r="C27" s="13"/>
      <c r="D27" s="8">
        <f t="shared" si="1"/>
        <v>0</v>
      </c>
    </row>
    <row r="28" spans="1:4" ht="12.75" hidden="1">
      <c r="A28" s="9" t="s">
        <v>15</v>
      </c>
      <c r="B28" s="13"/>
      <c r="C28" s="13"/>
      <c r="D28" s="8">
        <f t="shared" si="1"/>
        <v>0</v>
      </c>
    </row>
    <row r="29" spans="1:4" ht="12.75" hidden="1">
      <c r="A29" s="9" t="s">
        <v>16</v>
      </c>
      <c r="B29" s="13"/>
      <c r="C29" s="13"/>
      <c r="D29" s="8">
        <f t="shared" si="1"/>
        <v>0</v>
      </c>
    </row>
    <row r="30" spans="1:4" ht="12.75" hidden="1">
      <c r="A30" s="9" t="s">
        <v>17</v>
      </c>
      <c r="B30" s="13"/>
      <c r="C30" s="13"/>
      <c r="D30" s="8">
        <f t="shared" si="1"/>
        <v>0</v>
      </c>
    </row>
    <row r="31" spans="1:4" ht="12.75" hidden="1">
      <c r="A31" s="9" t="s">
        <v>18</v>
      </c>
      <c r="B31" s="13"/>
      <c r="C31" s="13"/>
      <c r="D31" s="8">
        <f t="shared" si="1"/>
        <v>0</v>
      </c>
    </row>
    <row r="32" spans="1:4" ht="12.75" hidden="1">
      <c r="A32" s="9" t="s">
        <v>19</v>
      </c>
      <c r="B32" s="13"/>
      <c r="C32" s="13"/>
      <c r="D32" s="8">
        <f t="shared" si="1"/>
        <v>0</v>
      </c>
    </row>
    <row r="33" spans="1:4" ht="12.75" hidden="1">
      <c r="A33" s="9" t="s">
        <v>20</v>
      </c>
      <c r="B33" s="13"/>
      <c r="C33" s="13"/>
      <c r="D33" s="8">
        <f t="shared" si="1"/>
        <v>0</v>
      </c>
    </row>
    <row r="34" spans="1:4" ht="12.75" hidden="1">
      <c r="A34" s="9" t="s">
        <v>21</v>
      </c>
      <c r="B34" s="13"/>
      <c r="C34" s="13"/>
      <c r="D34" s="13">
        <f t="shared" si="1"/>
        <v>0</v>
      </c>
    </row>
    <row r="35" spans="1:4" ht="12.75" hidden="1">
      <c r="A35" s="9" t="s">
        <v>22</v>
      </c>
      <c r="B35" s="13"/>
      <c r="C35" s="13"/>
      <c r="D35" s="13">
        <f t="shared" si="1"/>
        <v>0</v>
      </c>
    </row>
    <row r="36" spans="1:4" ht="12.75" hidden="1">
      <c r="A36" s="9" t="s">
        <v>23</v>
      </c>
      <c r="B36" s="10"/>
      <c r="C36" s="10"/>
      <c r="D36" s="13">
        <f t="shared" si="1"/>
        <v>0</v>
      </c>
    </row>
    <row r="37" spans="1:4" ht="12.75" hidden="1">
      <c r="A37" s="7" t="s">
        <v>41</v>
      </c>
      <c r="B37" s="13">
        <f>B39+B40+B38</f>
        <v>0</v>
      </c>
      <c r="C37" s="13">
        <f>C39+C40+C38</f>
        <v>0</v>
      </c>
      <c r="D37" s="13">
        <f>D38+D39+D40</f>
        <v>0</v>
      </c>
    </row>
    <row r="38" spans="1:4" ht="12.75" hidden="1">
      <c r="A38" s="9" t="s">
        <v>21</v>
      </c>
      <c r="B38" s="13"/>
      <c r="C38" s="13"/>
      <c r="D38" s="13">
        <f>B38-C38</f>
        <v>0</v>
      </c>
    </row>
    <row r="39" spans="1:4" ht="12.75" hidden="1">
      <c r="A39" s="9" t="s">
        <v>22</v>
      </c>
      <c r="B39" s="13"/>
      <c r="C39" s="13"/>
      <c r="D39" s="13">
        <f>B39-C39</f>
        <v>0</v>
      </c>
    </row>
    <row r="40" spans="1:4" ht="12.75" hidden="1">
      <c r="A40" s="9" t="s">
        <v>23</v>
      </c>
      <c r="B40" s="13"/>
      <c r="C40" s="13"/>
      <c r="D40" s="13">
        <f>B40-C40</f>
        <v>0</v>
      </c>
    </row>
    <row r="41" spans="1:4" ht="12.75" hidden="1">
      <c r="A41" s="7" t="s">
        <v>81</v>
      </c>
      <c r="B41" s="13">
        <f>B42+B43+B44+B45+B46</f>
        <v>0</v>
      </c>
      <c r="C41" s="13">
        <f>C42+C43+C44+C45+C46</f>
        <v>0</v>
      </c>
      <c r="D41" s="13">
        <f>SUM(D42:D46)</f>
        <v>0</v>
      </c>
    </row>
    <row r="42" spans="1:4" ht="12.75" hidden="1">
      <c r="A42" s="9" t="s">
        <v>18</v>
      </c>
      <c r="B42" s="8"/>
      <c r="C42" s="8"/>
      <c r="D42" s="8">
        <f>B42-C42</f>
        <v>0</v>
      </c>
    </row>
    <row r="43" spans="1:4" ht="12.75" hidden="1">
      <c r="A43" s="9" t="s">
        <v>19</v>
      </c>
      <c r="B43" s="13"/>
      <c r="C43" s="13"/>
      <c r="D43" s="8">
        <f>B43-C43</f>
        <v>0</v>
      </c>
    </row>
    <row r="44" spans="1:4" ht="12.75" hidden="1">
      <c r="A44" s="9" t="s">
        <v>20</v>
      </c>
      <c r="B44" s="13"/>
      <c r="C44" s="13"/>
      <c r="D44" s="13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>
      <c r="A47" s="9" t="s">
        <v>26</v>
      </c>
      <c r="B47" s="8">
        <f>B11+B24</f>
        <v>1306409.4599999997</v>
      </c>
      <c r="C47" s="8">
        <f>C11+C24-100000</f>
        <v>1199767.4300000002</v>
      </c>
      <c r="D47" s="8">
        <f>D11+D24</f>
        <v>6642.029999999955</v>
      </c>
    </row>
    <row r="49" spans="1:4" ht="12.75">
      <c r="A49" t="s">
        <v>27</v>
      </c>
      <c r="D49" s="12">
        <f>D47</f>
        <v>6642.029999999955</v>
      </c>
    </row>
    <row r="51" spans="1:4" ht="12.75">
      <c r="A51" s="11" t="s">
        <v>28</v>
      </c>
      <c r="D51" s="12">
        <f>D52+D53</f>
        <v>82358.856</v>
      </c>
    </row>
    <row r="52" spans="1:4" ht="12.75" hidden="1">
      <c r="A52" s="11" t="s">
        <v>29</v>
      </c>
      <c r="D52" s="12">
        <f>(1.33*4*D3)+(1.21*8*D3)</f>
        <v>69093</v>
      </c>
    </row>
    <row r="53" spans="1:4" ht="12.75" hidden="1">
      <c r="A53" s="11" t="s">
        <v>30</v>
      </c>
      <c r="D53" s="12">
        <f>(0.24*12*D3)</f>
        <v>13265.856</v>
      </c>
    </row>
    <row r="54" spans="1:4" ht="12.75" hidden="1">
      <c r="A54" s="11" t="s">
        <v>31</v>
      </c>
      <c r="D54" s="12">
        <v>0</v>
      </c>
    </row>
    <row r="55" spans="1:4" ht="12.75">
      <c r="A55" s="11" t="s">
        <v>77</v>
      </c>
      <c r="D55" s="12">
        <f>964*0.22*4+(964*2.5)</f>
        <v>3258.32</v>
      </c>
    </row>
    <row r="56" spans="1:4" ht="12.75">
      <c r="A56" s="11" t="s">
        <v>80</v>
      </c>
      <c r="D56" s="12">
        <f>(2.66*4*D3)+(2.42*8*D3)</f>
        <v>138186</v>
      </c>
    </row>
    <row r="57" spans="1:4" ht="12.75" hidden="1">
      <c r="A57" s="11" t="s">
        <v>32</v>
      </c>
      <c r="D57" s="12">
        <v>0</v>
      </c>
    </row>
    <row r="58" spans="1:4" ht="12.75">
      <c r="A58" s="11" t="s">
        <v>76</v>
      </c>
      <c r="D58" s="12">
        <f>(0.72*3*D3)</f>
        <v>9949.392</v>
      </c>
    </row>
    <row r="59" spans="1:4" ht="12.75">
      <c r="A59" s="11" t="s">
        <v>33</v>
      </c>
      <c r="D59" s="12">
        <f>(1.45*4*D3)+(1.32*8*D3)</f>
        <v>75357.432</v>
      </c>
    </row>
    <row r="60" spans="1:4" ht="12.75">
      <c r="A60" s="11" t="s">
        <v>34</v>
      </c>
      <c r="D60" s="12">
        <f>(4.94*4*D3)+(4.51*8*D3)</f>
        <v>257210.20799999998</v>
      </c>
    </row>
    <row r="61" spans="1:4" ht="12.75">
      <c r="A61" s="11" t="s">
        <v>35</v>
      </c>
      <c r="D61" s="12">
        <f>(0.29*4*D3)+(0.26*8*D3)</f>
        <v>14924.088</v>
      </c>
    </row>
    <row r="62" spans="1:4" ht="12.75">
      <c r="A62" s="11" t="s">
        <v>78</v>
      </c>
      <c r="D62" s="12">
        <f>(3.87*4*D3)+(3.52*8*D3)</f>
        <v>201014.56799999997</v>
      </c>
    </row>
    <row r="63" spans="1:4" ht="12.75">
      <c r="A63" s="11" t="s">
        <v>36</v>
      </c>
      <c r="D63" s="12">
        <f>2.25*12*D4</f>
        <v>2160</v>
      </c>
    </row>
    <row r="64" spans="1:4" ht="12.75">
      <c r="A64" s="11" t="s">
        <v>37</v>
      </c>
      <c r="D64" s="12">
        <v>77645.3</v>
      </c>
    </row>
    <row r="65" spans="1:4" ht="12.75">
      <c r="A65" s="11" t="s">
        <v>38</v>
      </c>
      <c r="D65" s="12">
        <f>(0.7*4*D3)+(0.64*8*D3)</f>
        <v>36481.104</v>
      </c>
    </row>
    <row r="66" spans="1:4" ht="12.75" hidden="1">
      <c r="A66" s="14" t="s">
        <v>62</v>
      </c>
      <c r="D66" s="12">
        <v>0</v>
      </c>
    </row>
    <row r="67" spans="1:4" ht="12.75">
      <c r="A67" s="11" t="s">
        <v>64</v>
      </c>
      <c r="D67" s="12">
        <f>(4.66*4*D3)+(4.24*8*D3)</f>
        <v>242101.872</v>
      </c>
    </row>
    <row r="68" spans="1:4" ht="12.75">
      <c r="A68" s="11"/>
      <c r="D68" s="12"/>
    </row>
    <row r="69" spans="1:4" ht="12.75">
      <c r="A69" s="11" t="s">
        <v>39</v>
      </c>
      <c r="D69" s="12">
        <f>D51+D54+D56+D57+D59+D60+D61+D62+D63+D64+D65+D66+D67-D66+D55+D58</f>
        <v>1140647.1400000001</v>
      </c>
    </row>
    <row r="70" spans="1:8" ht="12.75">
      <c r="A70" s="11"/>
      <c r="D70" s="12"/>
      <c r="H70" s="22"/>
    </row>
    <row r="71" spans="1:8" ht="12.75">
      <c r="A71" t="s">
        <v>66</v>
      </c>
      <c r="D71" s="12">
        <f>C47-D69</f>
        <v>59120.29000000004</v>
      </c>
      <c r="H71" s="22"/>
    </row>
    <row r="72" ht="12.75">
      <c r="H72" s="22"/>
    </row>
    <row r="73" spans="1:8" ht="12.75">
      <c r="A73" s="11"/>
      <c r="H73" s="22"/>
    </row>
    <row r="78" ht="12.75">
      <c r="A78" s="16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8" ht="12.75">
      <c r="A88" s="16"/>
    </row>
    <row r="91" ht="12.75">
      <c r="A91" s="16"/>
    </row>
    <row r="92" ht="12.75">
      <c r="A92" s="17"/>
    </row>
    <row r="93" ht="12.75">
      <c r="A93" s="17"/>
    </row>
    <row r="94" ht="12.75">
      <c r="A94" s="17"/>
    </row>
    <row r="95" ht="12.75">
      <c r="A95" s="17"/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77"/>
  <sheetViews>
    <sheetView zoomScalePageLayoutView="0" workbookViewId="0" topLeftCell="A1">
      <selection activeCell="I68" sqref="I68"/>
    </sheetView>
  </sheetViews>
  <sheetFormatPr defaultColWidth="9.140625" defaultRowHeight="12.75"/>
  <cols>
    <col min="1" max="2" width="13.57421875" style="0" customWidth="1"/>
    <col min="3" max="3" width="14.8515625" style="0" customWidth="1"/>
    <col min="4" max="4" width="14.140625" style="0" customWidth="1"/>
    <col min="5" max="5" width="4.140625" style="0" customWidth="1"/>
    <col min="6" max="6" width="2.57421875" style="0" customWidth="1"/>
  </cols>
  <sheetData>
    <row r="1" spans="1:7" ht="12.75">
      <c r="A1" s="1" t="s">
        <v>0</v>
      </c>
      <c r="B1" s="2" t="s">
        <v>1</v>
      </c>
      <c r="C1" s="1" t="s">
        <v>50</v>
      </c>
      <c r="D1" s="1"/>
      <c r="E1" s="1" t="s">
        <v>2</v>
      </c>
      <c r="F1" s="3">
        <v>7</v>
      </c>
      <c r="G1">
        <v>2016</v>
      </c>
    </row>
    <row r="3" spans="1:5" ht="12.75">
      <c r="A3" t="s">
        <v>3</v>
      </c>
      <c r="D3" s="4">
        <v>4267.3</v>
      </c>
      <c r="E3" s="5" t="s">
        <v>40</v>
      </c>
    </row>
    <row r="4" spans="1:5" ht="12.75">
      <c r="A4" t="s">
        <v>4</v>
      </c>
      <c r="D4" s="4">
        <v>86</v>
      </c>
      <c r="E4" s="5"/>
    </row>
    <row r="5" spans="1:5" ht="12.75">
      <c r="A5" t="s">
        <v>5</v>
      </c>
      <c r="D5" s="4">
        <v>202</v>
      </c>
      <c r="E5" s="5" t="s">
        <v>6</v>
      </c>
    </row>
    <row r="6" spans="1:5" ht="12.75">
      <c r="A6" t="s">
        <v>7</v>
      </c>
      <c r="D6" s="4">
        <v>504.2</v>
      </c>
      <c r="E6" s="5" t="s">
        <v>40</v>
      </c>
    </row>
    <row r="7" spans="1:5" ht="12.75">
      <c r="A7" t="s">
        <v>8</v>
      </c>
      <c r="D7" s="4">
        <v>338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1061860.2000000002</v>
      </c>
      <c r="C11" s="8">
        <f>SUM(C12:C23)</f>
        <v>1080239.24</v>
      </c>
      <c r="D11" s="8">
        <f>SUM(D12:D23)</f>
        <v>-18379.04000000005</v>
      </c>
    </row>
    <row r="12" spans="1:4" ht="12.75">
      <c r="A12" s="9" t="s">
        <v>25</v>
      </c>
      <c r="B12" s="8">
        <v>85642.15</v>
      </c>
      <c r="C12" s="8">
        <v>76370.57</v>
      </c>
      <c r="D12" s="8">
        <f aca="true" t="shared" si="0" ref="D12:D23">B12-C12</f>
        <v>9271.579999999987</v>
      </c>
    </row>
    <row r="13" spans="1:4" ht="12.75">
      <c r="A13" s="9" t="s">
        <v>13</v>
      </c>
      <c r="B13" s="8">
        <v>85642.15</v>
      </c>
      <c r="C13" s="13">
        <v>75480.6</v>
      </c>
      <c r="D13" s="8">
        <f t="shared" si="0"/>
        <v>10161.549999999988</v>
      </c>
    </row>
    <row r="14" spans="1:4" ht="12.75">
      <c r="A14" s="9" t="s">
        <v>14</v>
      </c>
      <c r="B14" s="8">
        <v>85642.15</v>
      </c>
      <c r="C14" s="13">
        <v>80578.3</v>
      </c>
      <c r="D14" s="8">
        <f t="shared" si="0"/>
        <v>5063.849999999991</v>
      </c>
    </row>
    <row r="15" spans="1:4" ht="12.75">
      <c r="A15" s="9" t="s">
        <v>15</v>
      </c>
      <c r="B15" s="8">
        <v>85642.15</v>
      </c>
      <c r="C15" s="13">
        <v>105177.59</v>
      </c>
      <c r="D15" s="8">
        <f t="shared" si="0"/>
        <v>-19535.440000000002</v>
      </c>
    </row>
    <row r="16" spans="1:4" ht="12.75">
      <c r="A16" s="9" t="s">
        <v>16</v>
      </c>
      <c r="B16" s="8">
        <v>85642.15</v>
      </c>
      <c r="C16" s="13">
        <v>93710.69</v>
      </c>
      <c r="D16" s="8">
        <f t="shared" si="0"/>
        <v>-8068.540000000008</v>
      </c>
    </row>
    <row r="17" spans="1:4" ht="12.75">
      <c r="A17" s="9" t="s">
        <v>17</v>
      </c>
      <c r="B17" s="8">
        <v>85642.15</v>
      </c>
      <c r="C17" s="13">
        <v>88385.08</v>
      </c>
      <c r="D17" s="8">
        <f t="shared" si="0"/>
        <v>-2742.9300000000076</v>
      </c>
    </row>
    <row r="18" spans="1:4" ht="12.75">
      <c r="A18" s="9" t="s">
        <v>18</v>
      </c>
      <c r="B18" s="8">
        <v>85642.15</v>
      </c>
      <c r="C18" s="13">
        <v>95932.44</v>
      </c>
      <c r="D18" s="8">
        <f t="shared" si="0"/>
        <v>-10290.290000000008</v>
      </c>
    </row>
    <row r="19" spans="1:4" ht="12.75">
      <c r="A19" s="9" t="s">
        <v>19</v>
      </c>
      <c r="B19" s="8">
        <v>85642.15</v>
      </c>
      <c r="C19" s="13">
        <v>94565.79</v>
      </c>
      <c r="D19" s="8">
        <f t="shared" si="0"/>
        <v>-8923.64</v>
      </c>
    </row>
    <row r="20" spans="1:4" ht="12.75">
      <c r="A20" s="9" t="s">
        <v>20</v>
      </c>
      <c r="B20" s="13">
        <v>94180.75</v>
      </c>
      <c r="C20" s="13">
        <v>90584.43</v>
      </c>
      <c r="D20" s="8">
        <f t="shared" si="0"/>
        <v>3596.320000000007</v>
      </c>
    </row>
    <row r="21" spans="1:4" ht="12.75">
      <c r="A21" s="9" t="s">
        <v>21</v>
      </c>
      <c r="B21" s="13">
        <v>94180.75</v>
      </c>
      <c r="C21" s="13">
        <v>105712.55</v>
      </c>
      <c r="D21" s="13">
        <f t="shared" si="0"/>
        <v>-11531.800000000003</v>
      </c>
    </row>
    <row r="22" spans="1:4" ht="12.75">
      <c r="A22" s="9" t="s">
        <v>22</v>
      </c>
      <c r="B22" s="13">
        <v>94180.75</v>
      </c>
      <c r="C22" s="13">
        <v>87486.18</v>
      </c>
      <c r="D22" s="13">
        <f t="shared" si="0"/>
        <v>6694.570000000007</v>
      </c>
    </row>
    <row r="23" spans="1:4" ht="12.75">
      <c r="A23" s="9" t="s">
        <v>23</v>
      </c>
      <c r="B23" s="13">
        <v>94180.75</v>
      </c>
      <c r="C23" s="13">
        <v>86255.02</v>
      </c>
      <c r="D23" s="13">
        <f t="shared" si="0"/>
        <v>7925.729999999996</v>
      </c>
    </row>
    <row r="24" spans="1:4" ht="12.75">
      <c r="A24" s="7" t="s">
        <v>24</v>
      </c>
      <c r="B24" s="8">
        <f>SUM(B25:B36)</f>
        <v>546.2399999999999</v>
      </c>
      <c r="C24" s="8">
        <f>SUM(C25:C36)</f>
        <v>632.5999999999999</v>
      </c>
      <c r="D24" s="8">
        <f>SUM(D25:D36)</f>
        <v>-86.35999999999996</v>
      </c>
    </row>
    <row r="25" spans="1:4" ht="12.75">
      <c r="A25" s="9" t="s">
        <v>25</v>
      </c>
      <c r="B25" s="8">
        <v>45.52</v>
      </c>
      <c r="C25" s="8">
        <v>33.13</v>
      </c>
      <c r="D25" s="8">
        <f aca="true" t="shared" si="1" ref="D25:D36">B25-C25</f>
        <v>12.39</v>
      </c>
    </row>
    <row r="26" spans="1:4" ht="12.75">
      <c r="A26" s="9" t="s">
        <v>13</v>
      </c>
      <c r="B26" s="8">
        <v>45.52</v>
      </c>
      <c r="C26" s="13">
        <v>34.52</v>
      </c>
      <c r="D26" s="8">
        <f t="shared" si="1"/>
        <v>11</v>
      </c>
    </row>
    <row r="27" spans="1:4" ht="12.75">
      <c r="A27" s="9" t="s">
        <v>14</v>
      </c>
      <c r="B27" s="8">
        <v>45.52</v>
      </c>
      <c r="C27" s="13">
        <v>36.55</v>
      </c>
      <c r="D27" s="8">
        <f t="shared" si="1"/>
        <v>8.970000000000006</v>
      </c>
    </row>
    <row r="28" spans="1:4" ht="12.75">
      <c r="A28" s="9" t="s">
        <v>15</v>
      </c>
      <c r="B28" s="8">
        <v>45.52</v>
      </c>
      <c r="C28" s="13">
        <v>109.98</v>
      </c>
      <c r="D28" s="8">
        <f t="shared" si="1"/>
        <v>-64.46000000000001</v>
      </c>
    </row>
    <row r="29" spans="1:4" ht="12.75">
      <c r="A29" s="9" t="s">
        <v>16</v>
      </c>
      <c r="B29" s="8">
        <v>45.52</v>
      </c>
      <c r="C29" s="13">
        <v>53.54</v>
      </c>
      <c r="D29" s="8">
        <f t="shared" si="1"/>
        <v>-8.019999999999996</v>
      </c>
    </row>
    <row r="30" spans="1:4" ht="12.75">
      <c r="A30" s="9" t="s">
        <v>17</v>
      </c>
      <c r="B30" s="8">
        <v>45.52</v>
      </c>
      <c r="C30" s="13">
        <v>54</v>
      </c>
      <c r="D30" s="8">
        <f t="shared" si="1"/>
        <v>-8.479999999999997</v>
      </c>
    </row>
    <row r="31" spans="1:4" ht="12.75">
      <c r="A31" s="9" t="s">
        <v>18</v>
      </c>
      <c r="B31" s="8">
        <v>45.52</v>
      </c>
      <c r="C31" s="13">
        <v>80.13</v>
      </c>
      <c r="D31" s="8">
        <f t="shared" si="1"/>
        <v>-34.60999999999999</v>
      </c>
    </row>
    <row r="32" spans="1:4" ht="12.75">
      <c r="A32" s="9" t="s">
        <v>19</v>
      </c>
      <c r="B32" s="8">
        <v>45.52</v>
      </c>
      <c r="C32" s="13">
        <v>53.87</v>
      </c>
      <c r="D32" s="8">
        <f t="shared" si="1"/>
        <v>-8.349999999999994</v>
      </c>
    </row>
    <row r="33" spans="1:4" ht="12.75">
      <c r="A33" s="9" t="s">
        <v>20</v>
      </c>
      <c r="B33" s="8">
        <v>45.52</v>
      </c>
      <c r="C33" s="13">
        <v>49</v>
      </c>
      <c r="D33" s="8">
        <f t="shared" si="1"/>
        <v>-3.479999999999997</v>
      </c>
    </row>
    <row r="34" spans="1:4" ht="12.75">
      <c r="A34" s="9" t="s">
        <v>21</v>
      </c>
      <c r="B34" s="8">
        <v>45.52</v>
      </c>
      <c r="C34" s="13">
        <v>57.18</v>
      </c>
      <c r="D34" s="13">
        <f t="shared" si="1"/>
        <v>-11.659999999999997</v>
      </c>
    </row>
    <row r="35" spans="1:4" ht="12.75">
      <c r="A35" s="9" t="s">
        <v>22</v>
      </c>
      <c r="B35" s="8">
        <v>45.52</v>
      </c>
      <c r="C35" s="13">
        <v>29.01</v>
      </c>
      <c r="D35" s="13">
        <f t="shared" si="1"/>
        <v>16.51</v>
      </c>
    </row>
    <row r="36" spans="1:4" ht="12.75">
      <c r="A36" s="9" t="s">
        <v>23</v>
      </c>
      <c r="B36" s="8">
        <v>45.52</v>
      </c>
      <c r="C36" s="13">
        <v>41.69</v>
      </c>
      <c r="D36" s="13">
        <f t="shared" si="1"/>
        <v>3.8300000000000054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81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19</v>
      </c>
      <c r="B41" s="8"/>
      <c r="C41" s="8"/>
      <c r="D41" s="8">
        <f>B41-C41</f>
        <v>0</v>
      </c>
    </row>
    <row r="42" spans="1:4" ht="12.75" hidden="1">
      <c r="A42" s="9" t="s">
        <v>20</v>
      </c>
      <c r="B42" s="13"/>
      <c r="C42" s="13"/>
      <c r="D42" s="8">
        <f>B42-C42</f>
        <v>0</v>
      </c>
    </row>
    <row r="43" spans="1:4" ht="12.75" hidden="1">
      <c r="A43" s="9" t="s">
        <v>21</v>
      </c>
      <c r="B43" s="13"/>
      <c r="C43" s="13"/>
      <c r="D43" s="13">
        <f>B43-C43</f>
        <v>0</v>
      </c>
    </row>
    <row r="44" spans="1:4" ht="12.75" hidden="1">
      <c r="A44" s="9" t="s">
        <v>22</v>
      </c>
      <c r="B44" s="13"/>
      <c r="C44" s="13"/>
      <c r="D44" s="13">
        <f>B44-C44</f>
        <v>0</v>
      </c>
    </row>
    <row r="45" spans="1:4" ht="12.75" hidden="1">
      <c r="A45" s="9" t="s">
        <v>23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1062406.4400000002</v>
      </c>
      <c r="C46" s="8">
        <f>C11+C24</f>
        <v>1080871.84</v>
      </c>
      <c r="D46" s="8">
        <f>D11+D24</f>
        <v>-18465.400000000052</v>
      </c>
    </row>
    <row r="48" spans="1:4" ht="12.75">
      <c r="A48" t="s">
        <v>27</v>
      </c>
      <c r="D48" s="12">
        <f>D46</f>
        <v>-18465.400000000052</v>
      </c>
    </row>
    <row r="50" spans="1:4" ht="12.75">
      <c r="A50" s="11" t="s">
        <v>28</v>
      </c>
      <c r="D50" s="12">
        <f>D51+D52</f>
        <v>76299.324</v>
      </c>
    </row>
    <row r="51" spans="1:4" ht="12.75" hidden="1">
      <c r="A51" s="11" t="s">
        <v>29</v>
      </c>
      <c r="D51" s="12">
        <f>(1.33*4*D3)+(1.21*8*D3)</f>
        <v>64009.5</v>
      </c>
    </row>
    <row r="52" spans="1:4" ht="12.75" hidden="1">
      <c r="A52" s="11" t="s">
        <v>30</v>
      </c>
      <c r="D52" s="12">
        <f>(0.24*12*D3)</f>
        <v>12289.824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1717*0.22*4+(1717*2.5)</f>
        <v>5803.46</v>
      </c>
    </row>
    <row r="55" spans="1:4" ht="12.75">
      <c r="A55" s="11" t="s">
        <v>80</v>
      </c>
      <c r="D55" s="12">
        <f>(2.66*4*D3)+(2.42*8*D3)</f>
        <v>128019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(0.72*2*D3)</f>
        <v>6144.912</v>
      </c>
    </row>
    <row r="58" spans="1:4" ht="12.75">
      <c r="A58" s="11" t="s">
        <v>33</v>
      </c>
      <c r="D58" s="12">
        <f>(1.45*4*D3)+(1.32*8*D3)</f>
        <v>69813.028</v>
      </c>
    </row>
    <row r="59" spans="1:4" ht="12.75">
      <c r="A59" s="11" t="s">
        <v>34</v>
      </c>
      <c r="D59" s="12">
        <f>(5.11*4*D3)+(4.51*8*D3)</f>
        <v>241187.79600000003</v>
      </c>
    </row>
    <row r="60" spans="1:4" ht="12.75">
      <c r="A60" s="11" t="s">
        <v>35</v>
      </c>
      <c r="D60" s="12">
        <f>(0.29*4*D3)+(0.26*8*D3)</f>
        <v>13826.052</v>
      </c>
    </row>
    <row r="61" spans="1:4" ht="12.75">
      <c r="A61" s="11" t="s">
        <v>78</v>
      </c>
      <c r="D61" s="12">
        <f>(3.87*4*D3)+(3.52*8*D3)</f>
        <v>186224.972</v>
      </c>
    </row>
    <row r="62" spans="1:4" ht="12.75">
      <c r="A62" s="11" t="s">
        <v>36</v>
      </c>
      <c r="D62" s="12">
        <f>2.25*12*D4</f>
        <v>2322</v>
      </c>
    </row>
    <row r="63" spans="1:4" ht="12.75">
      <c r="A63" s="11" t="s">
        <v>37</v>
      </c>
      <c r="D63" s="12">
        <v>85907</v>
      </c>
    </row>
    <row r="64" spans="1:4" ht="12.75">
      <c r="A64" s="11" t="s">
        <v>38</v>
      </c>
      <c r="D64" s="12">
        <f>(0.91*4*D3)+(0.83*8*D3)</f>
        <v>43867.844</v>
      </c>
    </row>
    <row r="65" spans="1:4" ht="12.75" hidden="1">
      <c r="A65" s="14" t="s">
        <v>62</v>
      </c>
      <c r="D65" s="12">
        <v>0</v>
      </c>
    </row>
    <row r="66" spans="1:4" ht="12.75">
      <c r="A66" s="11"/>
      <c r="D66" s="12"/>
    </row>
    <row r="67" spans="1:4" ht="12.75">
      <c r="A67" s="11" t="s">
        <v>39</v>
      </c>
      <c r="D67" s="12">
        <f>D50+D53+D54+D55+D56+D57+D58+D59+D60+D61+D62+D63+D64</f>
        <v>859415.388</v>
      </c>
    </row>
    <row r="68" spans="1:8" ht="12.75">
      <c r="A68" s="11"/>
      <c r="D68" s="12"/>
      <c r="H68" s="22"/>
    </row>
    <row r="69" spans="1:8" ht="12.75">
      <c r="A69" t="s">
        <v>65</v>
      </c>
      <c r="D69" s="12">
        <f>C46-D67</f>
        <v>221456.45200000005</v>
      </c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 hidden="1"/>
    <row r="76" ht="12.75">
      <c r="H76" s="22"/>
    </row>
    <row r="77" ht="12.75">
      <c r="H77" s="22"/>
    </row>
    <row r="78" ht="12.75" hidden="1"/>
    <row r="80" ht="12.75" hidden="1"/>
    <row r="81" ht="12.75" hidden="1"/>
    <row r="82" ht="12.75" hidden="1"/>
    <row r="85" ht="12.75" hidden="1"/>
    <row r="88" ht="12.75" hidden="1"/>
    <row r="89" ht="12.75" hidden="1"/>
    <row r="97" ht="12.75" hidden="1"/>
    <row r="98" ht="12.75" hidden="1"/>
    <row r="99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72"/>
  <sheetViews>
    <sheetView zoomScalePageLayoutView="0" workbookViewId="0" topLeftCell="A1">
      <selection activeCell="A47" sqref="A47:IV47"/>
    </sheetView>
  </sheetViews>
  <sheetFormatPr defaultColWidth="9.140625" defaultRowHeight="12.75"/>
  <cols>
    <col min="1" max="1" width="14.8515625" style="0" customWidth="1"/>
    <col min="2" max="2" width="13.7109375" style="0" customWidth="1"/>
    <col min="3" max="3" width="16.00390625" style="0" customWidth="1"/>
    <col min="4" max="4" width="13.140625" style="0" customWidth="1"/>
    <col min="5" max="5" width="5.00390625" style="0" customWidth="1"/>
    <col min="6" max="6" width="4.28125" style="0" customWidth="1"/>
  </cols>
  <sheetData>
    <row r="1" spans="1:7" ht="12.75">
      <c r="A1" s="1" t="s">
        <v>0</v>
      </c>
      <c r="B1" s="2" t="s">
        <v>1</v>
      </c>
      <c r="C1" s="1" t="s">
        <v>57</v>
      </c>
      <c r="D1" s="1"/>
      <c r="E1" s="1" t="s">
        <v>2</v>
      </c>
      <c r="F1" s="3">
        <v>10</v>
      </c>
      <c r="G1">
        <v>2016</v>
      </c>
    </row>
    <row r="3" spans="1:5" ht="12.75">
      <c r="A3" t="s">
        <v>3</v>
      </c>
      <c r="D3" s="4">
        <v>4204.8</v>
      </c>
      <c r="E3" s="5" t="s">
        <v>40</v>
      </c>
    </row>
    <row r="4" spans="1:5" ht="12.75">
      <c r="A4" t="s">
        <v>4</v>
      </c>
      <c r="D4" s="4">
        <v>81</v>
      </c>
      <c r="E4" s="5"/>
    </row>
    <row r="5" spans="1:5" ht="12.75">
      <c r="A5" t="s">
        <v>5</v>
      </c>
      <c r="D5" s="4">
        <v>202</v>
      </c>
      <c r="E5" s="5" t="s">
        <v>6</v>
      </c>
    </row>
    <row r="6" spans="1:5" ht="12.75">
      <c r="A6" t="s">
        <v>7</v>
      </c>
      <c r="D6" s="4">
        <v>468</v>
      </c>
      <c r="E6" s="5" t="s">
        <v>40</v>
      </c>
    </row>
    <row r="7" spans="1:5" ht="12.75">
      <c r="A7" t="s">
        <v>8</v>
      </c>
      <c r="D7" s="4">
        <v>2165</v>
      </c>
      <c r="E7" s="5" t="s">
        <v>40</v>
      </c>
    </row>
    <row r="8" ht="12.75" hidden="1"/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1046165.92</v>
      </c>
      <c r="C11" s="8">
        <f>SUM(C12:C23)</f>
        <v>1043374.34</v>
      </c>
      <c r="D11" s="8">
        <f>SUM(D12:D23)</f>
        <v>2791.5799999999435</v>
      </c>
    </row>
    <row r="12" spans="1:4" ht="12.75">
      <c r="A12" s="9" t="s">
        <v>25</v>
      </c>
      <c r="B12" s="8">
        <v>84376.36</v>
      </c>
      <c r="C12" s="8">
        <v>78140.74</v>
      </c>
      <c r="D12" s="8">
        <f aca="true" t="shared" si="0" ref="D12:D23">B12-C12</f>
        <v>6235.619999999995</v>
      </c>
    </row>
    <row r="13" spans="1:4" ht="12.75">
      <c r="A13" s="9" t="s">
        <v>13</v>
      </c>
      <c r="B13" s="8">
        <v>84376.36</v>
      </c>
      <c r="C13" s="13">
        <v>99884.57</v>
      </c>
      <c r="D13" s="8">
        <f t="shared" si="0"/>
        <v>-15508.210000000006</v>
      </c>
    </row>
    <row r="14" spans="1:4" ht="12.75">
      <c r="A14" s="9" t="s">
        <v>14</v>
      </c>
      <c r="B14" s="8">
        <v>84376.36</v>
      </c>
      <c r="C14" s="13">
        <v>78770.57</v>
      </c>
      <c r="D14" s="8">
        <f t="shared" si="0"/>
        <v>5605.789999999994</v>
      </c>
    </row>
    <row r="15" spans="1:4" ht="12.75">
      <c r="A15" s="9" t="s">
        <v>15</v>
      </c>
      <c r="B15" s="8">
        <v>84376.36</v>
      </c>
      <c r="C15" s="13">
        <v>87609.31</v>
      </c>
      <c r="D15" s="8">
        <f t="shared" si="0"/>
        <v>-3232.949999999997</v>
      </c>
    </row>
    <row r="16" spans="1:4" ht="12.75">
      <c r="A16" s="9" t="s">
        <v>16</v>
      </c>
      <c r="B16" s="8">
        <v>84376.36</v>
      </c>
      <c r="C16" s="13">
        <v>78241.24</v>
      </c>
      <c r="D16" s="8">
        <f t="shared" si="0"/>
        <v>6135.119999999995</v>
      </c>
    </row>
    <row r="17" spans="1:4" ht="12.75">
      <c r="A17" s="9" t="s">
        <v>17</v>
      </c>
      <c r="B17" s="8">
        <v>84376.36</v>
      </c>
      <c r="C17" s="13">
        <v>95056.05</v>
      </c>
      <c r="D17" s="8">
        <f t="shared" si="0"/>
        <v>-10679.690000000002</v>
      </c>
    </row>
    <row r="18" spans="1:4" ht="12.75">
      <c r="A18" s="9" t="s">
        <v>18</v>
      </c>
      <c r="B18" s="8">
        <v>84376.36</v>
      </c>
      <c r="C18" s="13">
        <v>77671.58</v>
      </c>
      <c r="D18" s="8">
        <f t="shared" si="0"/>
        <v>6704.779999999999</v>
      </c>
    </row>
    <row r="19" spans="1:4" ht="12.75">
      <c r="A19" s="9" t="s">
        <v>19</v>
      </c>
      <c r="B19" s="8">
        <v>84376.36</v>
      </c>
      <c r="C19" s="13">
        <v>79741.08</v>
      </c>
      <c r="D19" s="8">
        <f t="shared" si="0"/>
        <v>4635.279999999999</v>
      </c>
    </row>
    <row r="20" spans="1:4" ht="12.75">
      <c r="A20" s="9" t="s">
        <v>20</v>
      </c>
      <c r="B20" s="13">
        <v>92788.76</v>
      </c>
      <c r="C20" s="13">
        <v>100017.27</v>
      </c>
      <c r="D20" s="8">
        <f t="shared" si="0"/>
        <v>-7228.510000000009</v>
      </c>
    </row>
    <row r="21" spans="1:4" ht="12.75">
      <c r="A21" s="9" t="s">
        <v>21</v>
      </c>
      <c r="B21" s="13">
        <v>92788.76</v>
      </c>
      <c r="C21" s="13">
        <v>87335.77</v>
      </c>
      <c r="D21" s="13">
        <f t="shared" si="0"/>
        <v>5452.989999999991</v>
      </c>
    </row>
    <row r="22" spans="1:4" ht="12.75">
      <c r="A22" s="9" t="s">
        <v>22</v>
      </c>
      <c r="B22" s="13">
        <v>92788.76</v>
      </c>
      <c r="C22" s="13">
        <v>93601.3</v>
      </c>
      <c r="D22" s="13">
        <f t="shared" si="0"/>
        <v>-812.5400000000081</v>
      </c>
    </row>
    <row r="23" spans="1:4" ht="12.75">
      <c r="A23" s="9" t="s">
        <v>23</v>
      </c>
      <c r="B23" s="13">
        <v>92788.76</v>
      </c>
      <c r="C23" s="13">
        <v>87304.86</v>
      </c>
      <c r="D23" s="13">
        <f t="shared" si="0"/>
        <v>5483.899999999994</v>
      </c>
    </row>
    <row r="24" spans="1:4" ht="12.75">
      <c r="A24" s="7" t="s">
        <v>24</v>
      </c>
      <c r="B24" s="8">
        <f>SUM(B25:B36)</f>
        <v>239.04000000000008</v>
      </c>
      <c r="C24" s="8">
        <f>SUM(C25:C36)</f>
        <v>300.79</v>
      </c>
      <c r="D24" s="8">
        <f>SUM(D25:D36)</f>
        <v>-61.75</v>
      </c>
    </row>
    <row r="25" spans="1:4" ht="12.75">
      <c r="A25" s="9" t="s">
        <v>25</v>
      </c>
      <c r="B25" s="8">
        <v>19.92</v>
      </c>
      <c r="C25" s="8">
        <v>17.52</v>
      </c>
      <c r="D25" s="8">
        <f aca="true" t="shared" si="1" ref="D25:D36">B25-C25</f>
        <v>2.400000000000002</v>
      </c>
    </row>
    <row r="26" spans="1:4" ht="12.75">
      <c r="A26" s="9" t="s">
        <v>13</v>
      </c>
      <c r="B26" s="8">
        <v>19.92</v>
      </c>
      <c r="C26" s="13">
        <v>101.04</v>
      </c>
      <c r="D26" s="8">
        <f t="shared" si="1"/>
        <v>-81.12</v>
      </c>
    </row>
    <row r="27" spans="1:4" ht="12.75">
      <c r="A27" s="9" t="s">
        <v>14</v>
      </c>
      <c r="B27" s="8">
        <v>19.92</v>
      </c>
      <c r="C27" s="13">
        <v>19.98</v>
      </c>
      <c r="D27" s="8">
        <f t="shared" si="1"/>
        <v>-0.05999999999999872</v>
      </c>
    </row>
    <row r="28" spans="1:4" ht="12.75">
      <c r="A28" s="9" t="s">
        <v>15</v>
      </c>
      <c r="B28" s="8">
        <v>19.92</v>
      </c>
      <c r="C28" s="13">
        <v>15.54</v>
      </c>
      <c r="D28" s="8">
        <f t="shared" si="1"/>
        <v>4.380000000000003</v>
      </c>
    </row>
    <row r="29" spans="1:4" ht="12.75">
      <c r="A29" s="9" t="s">
        <v>16</v>
      </c>
      <c r="B29" s="8">
        <v>19.92</v>
      </c>
      <c r="C29" s="13">
        <v>15.56</v>
      </c>
      <c r="D29" s="8">
        <f t="shared" si="1"/>
        <v>4.360000000000001</v>
      </c>
    </row>
    <row r="30" spans="1:4" ht="12.75">
      <c r="A30" s="9" t="s">
        <v>17</v>
      </c>
      <c r="B30" s="8">
        <v>19.92</v>
      </c>
      <c r="C30" s="13">
        <v>26.16</v>
      </c>
      <c r="D30" s="8">
        <f t="shared" si="1"/>
        <v>-6.239999999999998</v>
      </c>
    </row>
    <row r="31" spans="1:4" ht="12.75">
      <c r="A31" s="9" t="s">
        <v>18</v>
      </c>
      <c r="B31" s="8">
        <v>19.92</v>
      </c>
      <c r="C31" s="13">
        <v>17.5</v>
      </c>
      <c r="D31" s="8">
        <f t="shared" si="1"/>
        <v>2.4200000000000017</v>
      </c>
    </row>
    <row r="32" spans="1:4" ht="12.75">
      <c r="A32" s="9" t="s">
        <v>19</v>
      </c>
      <c r="B32" s="8">
        <v>19.92</v>
      </c>
      <c r="C32" s="13">
        <v>16.43</v>
      </c>
      <c r="D32" s="8">
        <f t="shared" si="1"/>
        <v>3.490000000000002</v>
      </c>
    </row>
    <row r="33" spans="1:4" ht="12.75">
      <c r="A33" s="9" t="s">
        <v>20</v>
      </c>
      <c r="B33" s="8">
        <v>19.92</v>
      </c>
      <c r="C33" s="13">
        <v>22.84</v>
      </c>
      <c r="D33" s="8">
        <f t="shared" si="1"/>
        <v>-2.919999999999998</v>
      </c>
    </row>
    <row r="34" spans="1:4" ht="12.75">
      <c r="A34" s="9" t="s">
        <v>21</v>
      </c>
      <c r="B34" s="8">
        <v>19.92</v>
      </c>
      <c r="C34" s="13">
        <v>13.3</v>
      </c>
      <c r="D34" s="13">
        <f t="shared" si="1"/>
        <v>6.620000000000001</v>
      </c>
    </row>
    <row r="35" spans="1:4" ht="12.75">
      <c r="A35" s="9" t="s">
        <v>22</v>
      </c>
      <c r="B35" s="8">
        <v>19.92</v>
      </c>
      <c r="C35" s="13">
        <v>21.86</v>
      </c>
      <c r="D35" s="13">
        <f t="shared" si="1"/>
        <v>-1.9399999999999977</v>
      </c>
    </row>
    <row r="36" spans="1:4" ht="12.75">
      <c r="A36" s="9" t="s">
        <v>23</v>
      </c>
      <c r="B36" s="8">
        <v>19.92</v>
      </c>
      <c r="C36" s="13">
        <v>13.06</v>
      </c>
      <c r="D36" s="13">
        <f t="shared" si="1"/>
        <v>6.860000000000001</v>
      </c>
    </row>
    <row r="37" spans="1:4" ht="12.75">
      <c r="A37" s="9" t="s">
        <v>26</v>
      </c>
      <c r="B37" s="8">
        <f>B11+B24</f>
        <v>1046404.9600000001</v>
      </c>
      <c r="C37" s="8">
        <f>C11+C24</f>
        <v>1043675.13</v>
      </c>
      <c r="D37" s="8">
        <f>D11+D24</f>
        <v>2729.8299999999435</v>
      </c>
    </row>
    <row r="39" spans="1:4" ht="12.75">
      <c r="A39" t="s">
        <v>27</v>
      </c>
      <c r="D39" s="12">
        <f>D37</f>
        <v>2729.8299999999435</v>
      </c>
    </row>
    <row r="41" spans="1:4" ht="12.75">
      <c r="A41" s="11" t="s">
        <v>28</v>
      </c>
      <c r="D41" s="12">
        <f>D42+D43</f>
        <v>75181.824</v>
      </c>
    </row>
    <row r="42" spans="1:4" ht="12.75" hidden="1">
      <c r="A42" s="11" t="s">
        <v>29</v>
      </c>
      <c r="D42" s="12">
        <f>(1.33*4*D3)+(1.21*8*D3)</f>
        <v>63072</v>
      </c>
    </row>
    <row r="43" spans="1:4" ht="12.75" hidden="1">
      <c r="A43" s="11" t="s">
        <v>30</v>
      </c>
      <c r="D43" s="12">
        <f>(0.24*12*D3)</f>
        <v>12109.824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1749*0.22*4+(1749*2.5)</f>
        <v>5911.62</v>
      </c>
    </row>
    <row r="46" spans="1:4" ht="12.75">
      <c r="A46" s="11" t="s">
        <v>80</v>
      </c>
      <c r="D46" s="12">
        <f>(2.66*4*D3)+(2.42*8*D3)</f>
        <v>126144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(0.72*2*D3)</f>
        <v>6054.912</v>
      </c>
    </row>
    <row r="49" spans="1:4" ht="12.75">
      <c r="A49" s="11" t="s">
        <v>33</v>
      </c>
      <c r="D49" s="12">
        <f>(1.45*4*D3)+(1.32*8*D3)</f>
        <v>68790.528</v>
      </c>
    </row>
    <row r="50" spans="1:4" ht="12.75">
      <c r="A50" s="11" t="s">
        <v>34</v>
      </c>
      <c r="D50" s="12">
        <f>(5.11*4*D3)+(4.51*8*D3)</f>
        <v>237655.29600000003</v>
      </c>
    </row>
    <row r="51" spans="1:4" ht="12.75">
      <c r="A51" s="11" t="s">
        <v>35</v>
      </c>
      <c r="D51" s="12">
        <f>(0.29*4*D3)+(0.26*8*D3)</f>
        <v>13623.552</v>
      </c>
    </row>
    <row r="52" spans="1:4" ht="12.75">
      <c r="A52" s="11" t="s">
        <v>78</v>
      </c>
      <c r="D52" s="12">
        <f>(3.87*4*D3)+(3.52*8*D3)</f>
        <v>183497.472</v>
      </c>
    </row>
    <row r="53" spans="1:4" ht="12.75">
      <c r="A53" s="11" t="s">
        <v>36</v>
      </c>
      <c r="D53" s="12">
        <f>2.25*12*D4</f>
        <v>2187</v>
      </c>
    </row>
    <row r="54" spans="1:4" ht="12.75">
      <c r="A54" s="11" t="s">
        <v>37</v>
      </c>
      <c r="D54" s="12">
        <v>159008.3</v>
      </c>
    </row>
    <row r="55" spans="1:4" ht="12.75">
      <c r="A55" s="11" t="s">
        <v>38</v>
      </c>
      <c r="D55" s="12">
        <f>(0.91*4*D3)+(0.83*8*D3)</f>
        <v>43225.344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</f>
        <v>921279.8480000002</v>
      </c>
    </row>
    <row r="59" spans="1:4" ht="12.75">
      <c r="A59" s="11"/>
      <c r="D59" s="12"/>
    </row>
    <row r="60" spans="1:4" ht="12.75">
      <c r="A60" t="s">
        <v>66</v>
      </c>
      <c r="D60" s="12">
        <f>C37-D58</f>
        <v>122395.28199999977</v>
      </c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 customHeight="1">
      <c r="H68" s="22"/>
    </row>
    <row r="69" ht="12.75">
      <c r="H69" s="22"/>
    </row>
    <row r="70" ht="12.75">
      <c r="H70" s="22"/>
    </row>
    <row r="71" ht="18.75" customHeight="1">
      <c r="H71" s="22"/>
    </row>
    <row r="72" ht="14.25" customHeight="1">
      <c r="H72" s="22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H70"/>
  <sheetViews>
    <sheetView zoomScalePageLayoutView="0" workbookViewId="0" topLeftCell="A1">
      <selection activeCell="A47" sqref="A47:IV47"/>
    </sheetView>
  </sheetViews>
  <sheetFormatPr defaultColWidth="9.140625" defaultRowHeight="12.75"/>
  <cols>
    <col min="1" max="1" width="14.421875" style="0" customWidth="1"/>
    <col min="2" max="2" width="15.57421875" style="0" customWidth="1"/>
    <col min="3" max="3" width="13.421875" style="0" customWidth="1"/>
    <col min="4" max="4" width="14.00390625" style="0" customWidth="1"/>
    <col min="5" max="5" width="4.421875" style="0" customWidth="1"/>
    <col min="6" max="6" width="3.7109375" style="0" customWidth="1"/>
  </cols>
  <sheetData>
    <row r="1" spans="1:7" ht="12.75">
      <c r="A1" s="1" t="s">
        <v>0</v>
      </c>
      <c r="B1" s="2" t="s">
        <v>1</v>
      </c>
      <c r="C1" s="1" t="s">
        <v>57</v>
      </c>
      <c r="D1" s="1"/>
      <c r="E1" s="1" t="s">
        <v>2</v>
      </c>
      <c r="F1" s="3">
        <v>12</v>
      </c>
      <c r="G1">
        <v>2016</v>
      </c>
    </row>
    <row r="3" spans="1:5" ht="12.75">
      <c r="A3" t="s">
        <v>3</v>
      </c>
      <c r="D3" s="4">
        <v>4263.9</v>
      </c>
      <c r="E3" s="5" t="s">
        <v>40</v>
      </c>
    </row>
    <row r="4" spans="1:5" ht="12.75">
      <c r="A4" t="s">
        <v>4</v>
      </c>
      <c r="D4" s="4">
        <v>81</v>
      </c>
      <c r="E4" s="5"/>
    </row>
    <row r="5" spans="1:5" ht="12.75">
      <c r="A5" t="s">
        <v>5</v>
      </c>
      <c r="D5" s="4">
        <v>184</v>
      </c>
      <c r="E5" s="5" t="s">
        <v>6</v>
      </c>
    </row>
    <row r="6" spans="1:5" ht="12.75">
      <c r="A6" t="s">
        <v>7</v>
      </c>
      <c r="D6" s="4">
        <v>540.1</v>
      </c>
      <c r="E6" s="5" t="s">
        <v>40</v>
      </c>
    </row>
    <row r="7" spans="1:5" ht="12.75">
      <c r="A7" t="s">
        <v>8</v>
      </c>
      <c r="D7" s="4">
        <v>8133</v>
      </c>
      <c r="E7" s="5" t="s">
        <v>40</v>
      </c>
    </row>
    <row r="8" ht="12.75" hidden="1"/>
    <row r="9" ht="12.75" hidden="1"/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1060516.68</v>
      </c>
      <c r="C11" s="8">
        <f>SUM(C12:C23)</f>
        <v>1046784.7500000001</v>
      </c>
      <c r="D11" s="8">
        <f>SUM(D12:D23)</f>
        <v>13731.929999999935</v>
      </c>
    </row>
    <row r="12" spans="1:4" ht="12.75">
      <c r="A12" s="9" t="s">
        <v>25</v>
      </c>
      <c r="B12" s="8">
        <v>85533.79</v>
      </c>
      <c r="C12" s="8">
        <v>86362.55</v>
      </c>
      <c r="D12" s="8">
        <f aca="true" t="shared" si="0" ref="D12:D23">B12-C12</f>
        <v>-828.7600000000093</v>
      </c>
    </row>
    <row r="13" spans="1:4" ht="12.75">
      <c r="A13" s="9" t="s">
        <v>13</v>
      </c>
      <c r="B13" s="8">
        <v>85533.79</v>
      </c>
      <c r="C13" s="13">
        <v>84480.15</v>
      </c>
      <c r="D13" s="8">
        <f t="shared" si="0"/>
        <v>1053.6399999999994</v>
      </c>
    </row>
    <row r="14" spans="1:4" ht="12.75">
      <c r="A14" s="9" t="s">
        <v>14</v>
      </c>
      <c r="B14" s="8">
        <v>85533.79</v>
      </c>
      <c r="C14" s="13">
        <v>80278.19</v>
      </c>
      <c r="D14" s="8">
        <f t="shared" si="0"/>
        <v>5255.599999999991</v>
      </c>
    </row>
    <row r="15" spans="1:4" ht="12.75">
      <c r="A15" s="9" t="s">
        <v>15</v>
      </c>
      <c r="B15" s="8">
        <v>85533.79</v>
      </c>
      <c r="C15" s="13">
        <v>86180.61</v>
      </c>
      <c r="D15" s="8">
        <f t="shared" si="0"/>
        <v>-646.820000000007</v>
      </c>
    </row>
    <row r="16" spans="1:4" ht="12.75">
      <c r="A16" s="9" t="s">
        <v>16</v>
      </c>
      <c r="B16" s="8">
        <v>85533.79</v>
      </c>
      <c r="C16" s="13">
        <v>86932.01</v>
      </c>
      <c r="D16" s="8">
        <f t="shared" si="0"/>
        <v>-1398.2200000000012</v>
      </c>
    </row>
    <row r="17" spans="1:4" ht="12.75">
      <c r="A17" s="9" t="s">
        <v>17</v>
      </c>
      <c r="B17" s="8">
        <v>85533.79</v>
      </c>
      <c r="C17" s="13">
        <v>80121.58</v>
      </c>
      <c r="D17" s="8">
        <f t="shared" si="0"/>
        <v>5412.209999999992</v>
      </c>
    </row>
    <row r="18" spans="1:4" ht="12.75">
      <c r="A18" s="9" t="s">
        <v>18</v>
      </c>
      <c r="B18" s="8">
        <v>85533.79</v>
      </c>
      <c r="C18" s="13">
        <v>84623.5</v>
      </c>
      <c r="D18" s="8">
        <f t="shared" si="0"/>
        <v>910.2899999999936</v>
      </c>
    </row>
    <row r="19" spans="1:4" ht="12.75">
      <c r="A19" s="9" t="s">
        <v>19</v>
      </c>
      <c r="B19" s="8">
        <v>85533.79</v>
      </c>
      <c r="C19" s="13">
        <v>87066.38</v>
      </c>
      <c r="D19" s="8">
        <f t="shared" si="0"/>
        <v>-1532.590000000011</v>
      </c>
    </row>
    <row r="20" spans="1:4" ht="12.75">
      <c r="A20" s="9" t="s">
        <v>20</v>
      </c>
      <c r="B20" s="13">
        <v>94061.59</v>
      </c>
      <c r="C20" s="13">
        <v>88112.48</v>
      </c>
      <c r="D20" s="8">
        <f t="shared" si="0"/>
        <v>5949.110000000001</v>
      </c>
    </row>
    <row r="21" spans="1:4" ht="12.75">
      <c r="A21" s="9" t="s">
        <v>21</v>
      </c>
      <c r="B21" s="13">
        <v>94061.59</v>
      </c>
      <c r="C21" s="13">
        <v>98614.79</v>
      </c>
      <c r="D21" s="13">
        <f t="shared" si="0"/>
        <v>-4553.199999999997</v>
      </c>
    </row>
    <row r="22" spans="1:4" ht="12.75">
      <c r="A22" s="9" t="s">
        <v>22</v>
      </c>
      <c r="B22" s="13">
        <v>94061.59</v>
      </c>
      <c r="C22" s="13">
        <v>91980.63</v>
      </c>
      <c r="D22" s="13">
        <f t="shared" si="0"/>
        <v>2080.959999999992</v>
      </c>
    </row>
    <row r="23" spans="1:4" ht="12.75">
      <c r="A23" s="9" t="s">
        <v>23</v>
      </c>
      <c r="B23" s="13">
        <v>94061.59</v>
      </c>
      <c r="C23" s="13">
        <v>92031.88</v>
      </c>
      <c r="D23" s="13">
        <f t="shared" si="0"/>
        <v>2029.7099999999919</v>
      </c>
    </row>
    <row r="24" spans="1:4" ht="12.75">
      <c r="A24" s="7" t="s">
        <v>24</v>
      </c>
      <c r="B24" s="8">
        <f>SUM(B25:B36)</f>
        <v>213</v>
      </c>
      <c r="C24" s="8">
        <f>SUM(C25:C36)</f>
        <v>213</v>
      </c>
      <c r="D24" s="8">
        <f>SUM(D25:D36)</f>
        <v>0</v>
      </c>
    </row>
    <row r="25" spans="1:4" ht="12.75">
      <c r="A25" s="9" t="s">
        <v>25</v>
      </c>
      <c r="B25" s="8">
        <v>17.75</v>
      </c>
      <c r="C25" s="8">
        <v>17.75</v>
      </c>
      <c r="D25" s="8">
        <f aca="true" t="shared" si="1" ref="D25:D36">B25-C25</f>
        <v>0</v>
      </c>
    </row>
    <row r="26" spans="1:4" ht="12.75">
      <c r="A26" s="9" t="s">
        <v>13</v>
      </c>
      <c r="B26" s="8">
        <v>17.75</v>
      </c>
      <c r="C26" s="8">
        <v>17.75</v>
      </c>
      <c r="D26" s="8">
        <f t="shared" si="1"/>
        <v>0</v>
      </c>
    </row>
    <row r="27" spans="1:4" ht="12.75">
      <c r="A27" s="9" t="s">
        <v>14</v>
      </c>
      <c r="B27" s="8">
        <v>17.75</v>
      </c>
      <c r="C27" s="8">
        <v>17.75</v>
      </c>
      <c r="D27" s="8">
        <f t="shared" si="1"/>
        <v>0</v>
      </c>
    </row>
    <row r="28" spans="1:4" ht="12.75">
      <c r="A28" s="9" t="s">
        <v>15</v>
      </c>
      <c r="B28" s="8">
        <v>17.75</v>
      </c>
      <c r="C28" s="8">
        <v>17.75</v>
      </c>
      <c r="D28" s="8">
        <f t="shared" si="1"/>
        <v>0</v>
      </c>
    </row>
    <row r="29" spans="1:4" ht="12.75">
      <c r="A29" s="9" t="s">
        <v>16</v>
      </c>
      <c r="B29" s="8">
        <v>17.75</v>
      </c>
      <c r="C29" s="8">
        <v>17.75</v>
      </c>
      <c r="D29" s="8">
        <f t="shared" si="1"/>
        <v>0</v>
      </c>
    </row>
    <row r="30" spans="1:4" ht="12.75">
      <c r="A30" s="9" t="s">
        <v>17</v>
      </c>
      <c r="B30" s="8">
        <v>17.75</v>
      </c>
      <c r="C30" s="8">
        <v>17.75</v>
      </c>
      <c r="D30" s="8">
        <f t="shared" si="1"/>
        <v>0</v>
      </c>
    </row>
    <row r="31" spans="1:4" ht="12.75">
      <c r="A31" s="9" t="s">
        <v>18</v>
      </c>
      <c r="B31" s="8">
        <v>17.75</v>
      </c>
      <c r="C31" s="8">
        <v>17.75</v>
      </c>
      <c r="D31" s="8">
        <f t="shared" si="1"/>
        <v>0</v>
      </c>
    </row>
    <row r="32" spans="1:4" ht="12.75">
      <c r="A32" s="9" t="s">
        <v>19</v>
      </c>
      <c r="B32" s="8">
        <v>17.75</v>
      </c>
      <c r="C32" s="8">
        <v>17.75</v>
      </c>
      <c r="D32" s="8">
        <f t="shared" si="1"/>
        <v>0</v>
      </c>
    </row>
    <row r="33" spans="1:4" ht="12.75">
      <c r="A33" s="9" t="s">
        <v>20</v>
      </c>
      <c r="B33" s="8">
        <v>17.75</v>
      </c>
      <c r="C33" s="8">
        <v>17.75</v>
      </c>
      <c r="D33" s="8">
        <f t="shared" si="1"/>
        <v>0</v>
      </c>
    </row>
    <row r="34" spans="1:4" ht="12.75">
      <c r="A34" s="9" t="s">
        <v>21</v>
      </c>
      <c r="B34" s="8">
        <v>17.75</v>
      </c>
      <c r="C34" s="8">
        <v>17.75</v>
      </c>
      <c r="D34" s="13">
        <f t="shared" si="1"/>
        <v>0</v>
      </c>
    </row>
    <row r="35" spans="1:4" ht="12.75">
      <c r="A35" s="9" t="s">
        <v>22</v>
      </c>
      <c r="B35" s="8">
        <v>17.75</v>
      </c>
      <c r="C35" s="8">
        <v>17.75</v>
      </c>
      <c r="D35" s="13">
        <f t="shared" si="1"/>
        <v>0</v>
      </c>
    </row>
    <row r="36" spans="1:4" ht="12.75">
      <c r="A36" s="9" t="s">
        <v>23</v>
      </c>
      <c r="B36" s="8">
        <v>17.75</v>
      </c>
      <c r="C36" s="8">
        <v>17.75</v>
      </c>
      <c r="D36" s="13">
        <f t="shared" si="1"/>
        <v>0</v>
      </c>
    </row>
    <row r="37" spans="1:4" ht="12.75">
      <c r="A37" s="9" t="s">
        <v>26</v>
      </c>
      <c r="B37" s="8">
        <f>B11+B24</f>
        <v>1060729.68</v>
      </c>
      <c r="C37" s="8">
        <f>C11+C24</f>
        <v>1046997.7500000001</v>
      </c>
      <c r="D37" s="8">
        <f>D11+D24</f>
        <v>13731.929999999935</v>
      </c>
    </row>
    <row r="39" spans="1:4" ht="12.75">
      <c r="A39" t="s">
        <v>27</v>
      </c>
      <c r="D39" s="12">
        <f>D37</f>
        <v>13731.929999999935</v>
      </c>
    </row>
    <row r="41" spans="1:4" ht="12.75">
      <c r="A41" s="11" t="s">
        <v>28</v>
      </c>
      <c r="D41" s="12">
        <f>D42+D43</f>
        <v>76238.532</v>
      </c>
    </row>
    <row r="42" spans="1:4" ht="12.75" hidden="1">
      <c r="A42" s="11" t="s">
        <v>29</v>
      </c>
      <c r="D42" s="12">
        <f>(1.33*4*D3)+(1.21*8*D3)</f>
        <v>63958.5</v>
      </c>
    </row>
    <row r="43" spans="1:4" ht="12.75" hidden="1">
      <c r="A43" s="11" t="s">
        <v>30</v>
      </c>
      <c r="D43" s="12">
        <f>(0.24*12*D3)</f>
        <v>12280.032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1723*0.22*4+(1723*2.5)</f>
        <v>5823.74</v>
      </c>
    </row>
    <row r="46" spans="1:4" ht="12.75">
      <c r="A46" s="11" t="s">
        <v>80</v>
      </c>
      <c r="D46" s="12">
        <f>(2.66*4*D3)+(2.42*8*D3)</f>
        <v>127917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(0.72*2*D3)</f>
        <v>6140.016</v>
      </c>
    </row>
    <row r="49" spans="1:4" ht="12.75">
      <c r="A49" s="11" t="s">
        <v>33</v>
      </c>
      <c r="D49" s="12">
        <f>(1.45*4*D3)+(1.32*8*D3)</f>
        <v>69757.404</v>
      </c>
    </row>
    <row r="50" spans="1:4" ht="12.75">
      <c r="A50" s="11" t="s">
        <v>34</v>
      </c>
      <c r="D50" s="12">
        <f>(5.11*4*D3)+(4.51*8*D3)</f>
        <v>240995.62799999997</v>
      </c>
    </row>
    <row r="51" spans="1:4" ht="12.75">
      <c r="A51" s="11" t="s">
        <v>35</v>
      </c>
      <c r="D51" s="12">
        <f>(0.29*4*D3)+(0.26*8*D3)</f>
        <v>13815.036</v>
      </c>
    </row>
    <row r="52" spans="1:4" ht="12.75">
      <c r="A52" s="11" t="s">
        <v>78</v>
      </c>
      <c r="D52" s="12">
        <f>(3.87*4*D3)+(3.52*8*D3)</f>
        <v>186076.59599999996</v>
      </c>
    </row>
    <row r="53" spans="1:4" ht="12.75">
      <c r="A53" s="11" t="s">
        <v>36</v>
      </c>
      <c r="D53" s="12">
        <f>2.25*12*D4</f>
        <v>2187</v>
      </c>
    </row>
    <row r="54" spans="1:4" ht="12.75">
      <c r="A54" s="11" t="s">
        <v>37</v>
      </c>
      <c r="D54" s="12">
        <v>325969.3</v>
      </c>
    </row>
    <row r="55" spans="1:4" ht="12.75">
      <c r="A55" s="11" t="s">
        <v>38</v>
      </c>
      <c r="D55" s="12">
        <f>(0.91*4*D3)+(0.83*8*D3)</f>
        <v>43832.89199999999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</f>
        <v>1098753.1439999999</v>
      </c>
    </row>
    <row r="59" spans="1:8" ht="12.75">
      <c r="A59" s="11"/>
      <c r="D59" s="12"/>
      <c r="H59" s="22"/>
    </row>
    <row r="60" spans="1:8" ht="12.75">
      <c r="A60" t="s">
        <v>66</v>
      </c>
      <c r="D60" s="12">
        <f>C37-D58</f>
        <v>-51755.39399999974</v>
      </c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9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16.421875" style="0" customWidth="1"/>
    <col min="2" max="2" width="14.8515625" style="0" customWidth="1"/>
    <col min="3" max="3" width="14.57421875" style="0" customWidth="1"/>
    <col min="4" max="4" width="13.7109375" style="0" customWidth="1"/>
  </cols>
  <sheetData>
    <row r="1" spans="1:7" ht="12.75">
      <c r="A1" s="1" t="s">
        <v>0</v>
      </c>
      <c r="B1" s="2" t="s">
        <v>1</v>
      </c>
      <c r="C1" s="1" t="s">
        <v>43</v>
      </c>
      <c r="D1" s="1"/>
      <c r="E1" s="1" t="s">
        <v>2</v>
      </c>
      <c r="F1" s="3">
        <v>13</v>
      </c>
      <c r="G1">
        <v>2016</v>
      </c>
    </row>
    <row r="3" spans="1:5" ht="12.75">
      <c r="A3" t="s">
        <v>3</v>
      </c>
      <c r="D3" s="4">
        <v>4115.8</v>
      </c>
      <c r="E3" s="5" t="s">
        <v>40</v>
      </c>
    </row>
    <row r="4" spans="1:5" ht="12.75">
      <c r="A4" t="s">
        <v>4</v>
      </c>
      <c r="D4" s="4">
        <v>92</v>
      </c>
      <c r="E4" s="5"/>
    </row>
    <row r="5" spans="1:5" ht="12.75">
      <c r="A5" t="s">
        <v>5</v>
      </c>
      <c r="D5" s="4">
        <v>208</v>
      </c>
      <c r="E5" s="5" t="s">
        <v>6</v>
      </c>
    </row>
    <row r="6" spans="1:5" ht="12.75">
      <c r="A6" t="s">
        <v>7</v>
      </c>
      <c r="D6" s="4">
        <v>449</v>
      </c>
      <c r="E6" s="5" t="s">
        <v>40</v>
      </c>
    </row>
    <row r="7" spans="1:5" ht="12.75">
      <c r="A7" t="s">
        <v>8</v>
      </c>
      <c r="D7" s="4">
        <v>7746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1024134.2600000001</v>
      </c>
      <c r="C11" s="8">
        <f>SUM(C12:C23)</f>
        <v>1006036.0399999999</v>
      </c>
      <c r="D11" s="8">
        <f>SUM(D12:D23)</f>
        <v>18098.220000000016</v>
      </c>
    </row>
    <row r="12" spans="1:4" ht="12.75">
      <c r="A12" s="9" t="s">
        <v>25</v>
      </c>
      <c r="B12" s="8">
        <f>82609.08-119.5</f>
        <v>82489.58</v>
      </c>
      <c r="C12" s="8">
        <v>71589.35</v>
      </c>
      <c r="D12" s="8">
        <f aca="true" t="shared" si="0" ref="D12:D23">B12-C12</f>
        <v>10900.229999999996</v>
      </c>
    </row>
    <row r="13" spans="1:4" ht="12.75">
      <c r="A13" s="9" t="s">
        <v>13</v>
      </c>
      <c r="B13" s="8">
        <v>82609.08</v>
      </c>
      <c r="C13" s="13">
        <v>80485.26</v>
      </c>
      <c r="D13" s="8">
        <f t="shared" si="0"/>
        <v>2123.820000000007</v>
      </c>
    </row>
    <row r="14" spans="1:4" ht="12.75">
      <c r="A14" s="9" t="s">
        <v>14</v>
      </c>
      <c r="B14" s="8">
        <v>82609.08</v>
      </c>
      <c r="C14" s="13">
        <v>84968.92</v>
      </c>
      <c r="D14" s="8">
        <f t="shared" si="0"/>
        <v>-2359.8399999999965</v>
      </c>
    </row>
    <row r="15" spans="1:4" ht="12.75">
      <c r="A15" s="9" t="s">
        <v>15</v>
      </c>
      <c r="B15" s="8">
        <v>82609.08</v>
      </c>
      <c r="C15" s="13">
        <v>80483.76</v>
      </c>
      <c r="D15" s="8">
        <f t="shared" si="0"/>
        <v>2125.320000000007</v>
      </c>
    </row>
    <row r="16" spans="1:4" ht="12.75">
      <c r="A16" s="9" t="s">
        <v>16</v>
      </c>
      <c r="B16" s="8">
        <v>82609.08</v>
      </c>
      <c r="C16" s="13">
        <v>87383.17</v>
      </c>
      <c r="D16" s="8">
        <f t="shared" si="0"/>
        <v>-4774.0899999999965</v>
      </c>
    </row>
    <row r="17" spans="1:4" ht="12.75">
      <c r="A17" s="9" t="s">
        <v>17</v>
      </c>
      <c r="B17" s="8">
        <v>82609.08</v>
      </c>
      <c r="C17" s="13">
        <v>81953.27</v>
      </c>
      <c r="D17" s="8">
        <f t="shared" si="0"/>
        <v>655.8099999999977</v>
      </c>
    </row>
    <row r="18" spans="1:4" ht="12.75">
      <c r="A18" s="9" t="s">
        <v>18</v>
      </c>
      <c r="B18" s="8">
        <v>82609.08</v>
      </c>
      <c r="C18" s="13">
        <v>80014.26</v>
      </c>
      <c r="D18" s="8">
        <f t="shared" si="0"/>
        <v>2594.820000000007</v>
      </c>
    </row>
    <row r="19" spans="1:4" ht="12.75">
      <c r="A19" s="9" t="s">
        <v>19</v>
      </c>
      <c r="B19" s="8">
        <v>82609.08</v>
      </c>
      <c r="C19" s="13">
        <v>79824.94</v>
      </c>
      <c r="D19" s="8">
        <f t="shared" si="0"/>
        <v>2784.1399999999994</v>
      </c>
    </row>
    <row r="20" spans="1:4" ht="12.75">
      <c r="A20" s="9" t="s">
        <v>20</v>
      </c>
      <c r="B20" s="13">
        <v>90845.28</v>
      </c>
      <c r="C20" s="13">
        <v>88481.54</v>
      </c>
      <c r="D20" s="8">
        <f t="shared" si="0"/>
        <v>2363.7400000000052</v>
      </c>
    </row>
    <row r="21" spans="1:4" ht="12.75">
      <c r="A21" s="9" t="s">
        <v>21</v>
      </c>
      <c r="B21" s="13">
        <v>90845.28</v>
      </c>
      <c r="C21" s="13">
        <v>87244.61</v>
      </c>
      <c r="D21" s="13">
        <f t="shared" si="0"/>
        <v>3600.6699999999983</v>
      </c>
    </row>
    <row r="22" spans="1:4" ht="12.75">
      <c r="A22" s="9" t="s">
        <v>22</v>
      </c>
      <c r="B22" s="13">
        <v>90845.28</v>
      </c>
      <c r="C22" s="13">
        <v>87530.1</v>
      </c>
      <c r="D22" s="13">
        <f t="shared" si="0"/>
        <v>3315.179999999993</v>
      </c>
    </row>
    <row r="23" spans="1:4" ht="12.75">
      <c r="A23" s="9" t="s">
        <v>23</v>
      </c>
      <c r="B23" s="13">
        <v>90845.28</v>
      </c>
      <c r="C23" s="13">
        <v>96076.86</v>
      </c>
      <c r="D23" s="13">
        <f t="shared" si="0"/>
        <v>-5231.580000000002</v>
      </c>
    </row>
    <row r="24" spans="1:4" ht="12.75">
      <c r="A24" s="7" t="s">
        <v>24</v>
      </c>
      <c r="B24" s="8">
        <f>SUM(B25:B36)</f>
        <v>278.52000000000004</v>
      </c>
      <c r="C24" s="8">
        <f>SUM(C25:C36)</f>
        <v>263.74</v>
      </c>
      <c r="D24" s="8">
        <f>SUM(D25:D36)</f>
        <v>14.780000000000019</v>
      </c>
    </row>
    <row r="25" spans="1:4" ht="12.75">
      <c r="A25" s="9" t="s">
        <v>25</v>
      </c>
      <c r="B25" s="8">
        <v>23.21</v>
      </c>
      <c r="C25" s="8">
        <v>12.42</v>
      </c>
      <c r="D25" s="8">
        <f aca="true" t="shared" si="1" ref="D25:D36">B25-C25</f>
        <v>10.790000000000001</v>
      </c>
    </row>
    <row r="26" spans="1:4" ht="12.75">
      <c r="A26" s="9" t="s">
        <v>13</v>
      </c>
      <c r="B26" s="8">
        <v>23.21</v>
      </c>
      <c r="C26" s="13">
        <v>16.63</v>
      </c>
      <c r="D26" s="8">
        <f t="shared" si="1"/>
        <v>6.580000000000002</v>
      </c>
    </row>
    <row r="27" spans="1:4" ht="12.75">
      <c r="A27" s="9" t="s">
        <v>14</v>
      </c>
      <c r="B27" s="8">
        <v>23.21</v>
      </c>
      <c r="C27" s="13">
        <v>27.11</v>
      </c>
      <c r="D27" s="8">
        <f t="shared" si="1"/>
        <v>-3.8999999999999986</v>
      </c>
    </row>
    <row r="28" spans="1:4" ht="12.75">
      <c r="A28" s="9" t="s">
        <v>15</v>
      </c>
      <c r="B28" s="8">
        <v>23.21</v>
      </c>
      <c r="C28" s="13">
        <v>19.81</v>
      </c>
      <c r="D28" s="8">
        <f t="shared" si="1"/>
        <v>3.400000000000002</v>
      </c>
    </row>
    <row r="29" spans="1:4" ht="12.75">
      <c r="A29" s="9" t="s">
        <v>16</v>
      </c>
      <c r="B29" s="8">
        <v>23.21</v>
      </c>
      <c r="C29" s="13">
        <v>23.54</v>
      </c>
      <c r="D29" s="8">
        <f t="shared" si="1"/>
        <v>-0.3299999999999983</v>
      </c>
    </row>
    <row r="30" spans="1:4" ht="12.75">
      <c r="A30" s="9" t="s">
        <v>17</v>
      </c>
      <c r="B30" s="8">
        <v>23.21</v>
      </c>
      <c r="C30" s="13">
        <v>27.52</v>
      </c>
      <c r="D30" s="8">
        <f t="shared" si="1"/>
        <v>-4.309999999999999</v>
      </c>
    </row>
    <row r="31" spans="1:4" ht="12.75">
      <c r="A31" s="9" t="s">
        <v>18</v>
      </c>
      <c r="B31" s="8">
        <v>23.21</v>
      </c>
      <c r="C31" s="13">
        <v>15.61</v>
      </c>
      <c r="D31" s="8">
        <f t="shared" si="1"/>
        <v>7.600000000000001</v>
      </c>
    </row>
    <row r="32" spans="1:4" ht="12.75">
      <c r="A32" s="9" t="s">
        <v>19</v>
      </c>
      <c r="B32" s="8">
        <v>23.21</v>
      </c>
      <c r="C32" s="13">
        <v>23.17</v>
      </c>
      <c r="D32" s="8">
        <f t="shared" si="1"/>
        <v>0.03999999999999915</v>
      </c>
    </row>
    <row r="33" spans="1:4" ht="12.75">
      <c r="A33" s="9" t="s">
        <v>20</v>
      </c>
      <c r="B33" s="8">
        <v>23.21</v>
      </c>
      <c r="C33" s="13">
        <v>27.65</v>
      </c>
      <c r="D33" s="8">
        <f t="shared" si="1"/>
        <v>-4.439999999999998</v>
      </c>
    </row>
    <row r="34" spans="1:4" ht="12.75">
      <c r="A34" s="9" t="s">
        <v>21</v>
      </c>
      <c r="B34" s="8">
        <v>23.21</v>
      </c>
      <c r="C34" s="13">
        <v>22.83</v>
      </c>
      <c r="D34" s="13">
        <f t="shared" si="1"/>
        <v>0.38000000000000256</v>
      </c>
    </row>
    <row r="35" spans="1:4" ht="12.75">
      <c r="A35" s="9" t="s">
        <v>22</v>
      </c>
      <c r="B35" s="8">
        <v>23.21</v>
      </c>
      <c r="C35" s="13">
        <v>25.37</v>
      </c>
      <c r="D35" s="13">
        <f t="shared" si="1"/>
        <v>-2.16</v>
      </c>
    </row>
    <row r="36" spans="1:4" ht="12.75">
      <c r="A36" s="9" t="s">
        <v>23</v>
      </c>
      <c r="B36" s="8">
        <v>23.21</v>
      </c>
      <c r="C36" s="13">
        <v>22.08</v>
      </c>
      <c r="D36" s="13">
        <f t="shared" si="1"/>
        <v>1.1300000000000026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81</v>
      </c>
      <c r="B40" s="8">
        <f>SUM(B41:B52)</f>
        <v>0</v>
      </c>
      <c r="C40" s="8">
        <f>SUM(C41:C52)</f>
        <v>0</v>
      </c>
      <c r="D40" s="8">
        <f>SUM(D41:D52)</f>
        <v>0</v>
      </c>
    </row>
    <row r="41" spans="1:4" ht="12.75" hidden="1">
      <c r="A41" s="9" t="s">
        <v>25</v>
      </c>
      <c r="B41" s="8"/>
      <c r="C41" s="8"/>
      <c r="D41" s="8">
        <f aca="true" t="shared" si="2" ref="D41:D47">B41-C41</f>
        <v>0</v>
      </c>
    </row>
    <row r="42" spans="1:4" ht="12.75" hidden="1">
      <c r="A42" s="9" t="s">
        <v>13</v>
      </c>
      <c r="B42" s="13"/>
      <c r="C42" s="13"/>
      <c r="D42" s="8">
        <f t="shared" si="2"/>
        <v>0</v>
      </c>
    </row>
    <row r="43" spans="1:4" ht="12.75" hidden="1">
      <c r="A43" s="9" t="s">
        <v>14</v>
      </c>
      <c r="B43" s="13"/>
      <c r="C43" s="13"/>
      <c r="D43" s="8">
        <f t="shared" si="2"/>
        <v>0</v>
      </c>
    </row>
    <row r="44" spans="1:4" ht="12.75" hidden="1">
      <c r="A44" s="9" t="s">
        <v>15</v>
      </c>
      <c r="B44" s="13"/>
      <c r="C44" s="13"/>
      <c r="D44" s="8">
        <f t="shared" si="2"/>
        <v>0</v>
      </c>
    </row>
    <row r="45" spans="1:4" ht="12.75" hidden="1">
      <c r="A45" s="9" t="s">
        <v>16</v>
      </c>
      <c r="B45" s="13"/>
      <c r="C45" s="13"/>
      <c r="D45" s="8">
        <f t="shared" si="2"/>
        <v>0</v>
      </c>
    </row>
    <row r="46" spans="1:4" ht="12.75" hidden="1">
      <c r="A46" s="9" t="s">
        <v>17</v>
      </c>
      <c r="B46" s="13"/>
      <c r="C46" s="13"/>
      <c r="D46" s="8">
        <f t="shared" si="2"/>
        <v>0</v>
      </c>
    </row>
    <row r="47" spans="1:4" ht="12.75" hidden="1">
      <c r="A47" s="9" t="s">
        <v>18</v>
      </c>
      <c r="B47" s="13"/>
      <c r="C47" s="13"/>
      <c r="D47" s="8">
        <f t="shared" si="2"/>
        <v>0</v>
      </c>
    </row>
    <row r="48" spans="1:4" ht="12.75" hidden="1">
      <c r="A48" s="9" t="s">
        <v>19</v>
      </c>
      <c r="B48" s="8"/>
      <c r="C48" s="8"/>
      <c r="D48" s="8">
        <f>B48-C48</f>
        <v>0</v>
      </c>
    </row>
    <row r="49" spans="1:4" ht="12.75" hidden="1">
      <c r="A49" s="9" t="s">
        <v>20</v>
      </c>
      <c r="B49" s="13"/>
      <c r="C49" s="13"/>
      <c r="D49" s="8">
        <f>B49-C49</f>
        <v>0</v>
      </c>
    </row>
    <row r="50" spans="1:4" ht="12.75" hidden="1">
      <c r="A50" s="9" t="s">
        <v>21</v>
      </c>
      <c r="B50" s="13"/>
      <c r="C50" s="13"/>
      <c r="D50" s="13">
        <f>B50-C50</f>
        <v>0</v>
      </c>
    </row>
    <row r="51" spans="1:4" ht="12.75" hidden="1">
      <c r="A51" s="9" t="s">
        <v>22</v>
      </c>
      <c r="B51" s="13"/>
      <c r="C51" s="13"/>
      <c r="D51" s="13">
        <f>B51-C51</f>
        <v>0</v>
      </c>
    </row>
    <row r="52" spans="1:4" ht="12.75" hidden="1">
      <c r="A52" s="9" t="s">
        <v>23</v>
      </c>
      <c r="B52" s="13"/>
      <c r="C52" s="13"/>
      <c r="D52" s="13">
        <f>B52-C52</f>
        <v>0</v>
      </c>
    </row>
    <row r="53" spans="1:4" ht="12.75">
      <c r="A53" s="9" t="s">
        <v>26</v>
      </c>
      <c r="B53" s="8">
        <f>B11+B24</f>
        <v>1024412.7800000001</v>
      </c>
      <c r="C53" s="8">
        <f>C11+C24</f>
        <v>1006299.7799999999</v>
      </c>
      <c r="D53" s="8">
        <f>D11+D24</f>
        <v>18113.000000000015</v>
      </c>
    </row>
    <row r="55" spans="1:4" ht="12.75">
      <c r="A55" t="s">
        <v>27</v>
      </c>
      <c r="D55" s="12">
        <f>D53</f>
        <v>18113.000000000015</v>
      </c>
    </row>
    <row r="57" spans="1:4" ht="12.75">
      <c r="A57" s="11" t="s">
        <v>28</v>
      </c>
      <c r="D57" s="12">
        <f>D58+D59</f>
        <v>73590.504</v>
      </c>
    </row>
    <row r="58" spans="1:4" ht="12.75" hidden="1">
      <c r="A58" s="11" t="s">
        <v>29</v>
      </c>
      <c r="D58" s="12">
        <f>(1.33*4*D3)+(1.21*8*D3)</f>
        <v>61737</v>
      </c>
    </row>
    <row r="59" spans="1:4" ht="12.75" hidden="1">
      <c r="A59" s="11" t="s">
        <v>30</v>
      </c>
      <c r="D59" s="12">
        <f>(0.24*12*D3)</f>
        <v>11853.504</v>
      </c>
    </row>
    <row r="60" spans="1:4" ht="12.75" hidden="1">
      <c r="A60" s="11" t="s">
        <v>31</v>
      </c>
      <c r="D60" s="12">
        <v>0</v>
      </c>
    </row>
    <row r="61" spans="1:4" ht="12.75">
      <c r="A61" s="11" t="s">
        <v>77</v>
      </c>
      <c r="D61" s="12">
        <f>1654*0.22*4+(1654*2.5)</f>
        <v>5590.52</v>
      </c>
    </row>
    <row r="62" spans="1:4" ht="12.75">
      <c r="A62" s="11" t="s">
        <v>80</v>
      </c>
      <c r="D62" s="12">
        <f>(2.66*4*D3)+(2.42*8*D3)</f>
        <v>123474</v>
      </c>
    </row>
    <row r="63" spans="1:4" ht="12.75" hidden="1">
      <c r="A63" s="11" t="s">
        <v>32</v>
      </c>
      <c r="D63" s="12">
        <v>0</v>
      </c>
    </row>
    <row r="64" spans="1:4" ht="12.75">
      <c r="A64" s="11" t="s">
        <v>76</v>
      </c>
      <c r="D64" s="12">
        <f>(0.72*2*D3)</f>
        <v>5926.752</v>
      </c>
    </row>
    <row r="65" spans="1:4" ht="12.75">
      <c r="A65" s="11" t="s">
        <v>33</v>
      </c>
      <c r="D65" s="12">
        <f>(1.45*4*D3)+(1.32*8*D3)</f>
        <v>67334.48800000001</v>
      </c>
    </row>
    <row r="66" spans="1:4" ht="12.75">
      <c r="A66" s="11" t="s">
        <v>34</v>
      </c>
      <c r="D66" s="12">
        <f>(5.11*4*D3)+(4.51*8*D3)</f>
        <v>232625.016</v>
      </c>
    </row>
    <row r="67" spans="1:4" ht="12.75">
      <c r="A67" s="11" t="s">
        <v>35</v>
      </c>
      <c r="D67" s="12">
        <f>(0.29*4*D3)+(0.26*8*D3)</f>
        <v>13335.192000000001</v>
      </c>
    </row>
    <row r="68" spans="1:4" ht="12.75">
      <c r="A68" s="11" t="s">
        <v>78</v>
      </c>
      <c r="D68" s="12">
        <f>(3.87*4*D3)+(3.52*8*D3)</f>
        <v>179613.512</v>
      </c>
    </row>
    <row r="69" spans="1:4" ht="12.75">
      <c r="A69" s="11" t="s">
        <v>36</v>
      </c>
      <c r="D69" s="12">
        <f>2.25*12*D4</f>
        <v>2484</v>
      </c>
    </row>
    <row r="70" spans="1:4" ht="12.75">
      <c r="A70" s="11" t="s">
        <v>37</v>
      </c>
      <c r="D70" s="12">
        <v>148051</v>
      </c>
    </row>
    <row r="71" spans="1:4" ht="12.75">
      <c r="A71" s="11" t="s">
        <v>38</v>
      </c>
      <c r="D71" s="12">
        <f>(0.91*4*D3)+(0.83*8*D3)</f>
        <v>42310.424</v>
      </c>
    </row>
    <row r="72" spans="1:4" ht="12.75" hidden="1">
      <c r="A72" s="14" t="s">
        <v>62</v>
      </c>
      <c r="D72" s="12">
        <v>0</v>
      </c>
    </row>
    <row r="73" spans="1:4" ht="12.75">
      <c r="A73" s="11"/>
      <c r="D73" s="12"/>
    </row>
    <row r="74" spans="1:4" ht="12.75">
      <c r="A74" s="11" t="s">
        <v>39</v>
      </c>
      <c r="D74" s="12">
        <f>D57+D60+D61+D62+D63+D64+D65+D66+D67+D68+D69+D70+D71</f>
        <v>894335.4079999999</v>
      </c>
    </row>
    <row r="75" spans="1:4" ht="12.75">
      <c r="A75" s="11"/>
      <c r="D75" s="12"/>
    </row>
    <row r="76" spans="1:4" ht="12.75">
      <c r="A76" t="s">
        <v>65</v>
      </c>
      <c r="D76" s="12">
        <f>C53-D74</f>
        <v>111964.37199999997</v>
      </c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</sheetData>
  <sheetProtection/>
  <printOptions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H63"/>
  <sheetViews>
    <sheetView zoomScalePageLayoutView="0" workbookViewId="0" topLeftCell="A1">
      <selection activeCell="L65" sqref="L65"/>
    </sheetView>
  </sheetViews>
  <sheetFormatPr defaultColWidth="9.140625" defaultRowHeight="12.75"/>
  <cols>
    <col min="1" max="1" width="13.00390625" style="0" customWidth="1"/>
    <col min="2" max="2" width="15.28125" style="0" customWidth="1"/>
    <col min="3" max="4" width="14.57421875" style="0" customWidth="1"/>
    <col min="5" max="5" width="5.00390625" style="0" customWidth="1"/>
    <col min="6" max="6" width="5.28125" style="0" customWidth="1"/>
  </cols>
  <sheetData>
    <row r="1" spans="1:7" ht="12.75">
      <c r="A1" s="1" t="s">
        <v>0</v>
      </c>
      <c r="B1" s="2" t="s">
        <v>1</v>
      </c>
      <c r="C1" s="1" t="s">
        <v>57</v>
      </c>
      <c r="D1" s="1"/>
      <c r="E1" s="1" t="s">
        <v>2</v>
      </c>
      <c r="F1" s="3">
        <v>14</v>
      </c>
      <c r="G1">
        <v>2016</v>
      </c>
    </row>
    <row r="3" spans="1:5" ht="12.75">
      <c r="A3" t="s">
        <v>3</v>
      </c>
      <c r="D3" s="4">
        <v>3178.8</v>
      </c>
      <c r="E3" s="5" t="s">
        <v>40</v>
      </c>
    </row>
    <row r="4" spans="1:5" ht="12.75">
      <c r="A4" t="s">
        <v>4</v>
      </c>
      <c r="D4" s="4">
        <v>60</v>
      </c>
      <c r="E4" s="5"/>
    </row>
    <row r="5" spans="1:5" ht="12.75">
      <c r="A5" t="s">
        <v>5</v>
      </c>
      <c r="D5" s="4">
        <v>133</v>
      </c>
      <c r="E5" s="5" t="s">
        <v>6</v>
      </c>
    </row>
    <row r="6" spans="1:5" ht="12.75">
      <c r="A6" t="s">
        <v>7</v>
      </c>
      <c r="D6" s="4">
        <v>411.9</v>
      </c>
      <c r="E6" s="5" t="s">
        <v>40</v>
      </c>
    </row>
    <row r="7" spans="1:5" ht="12.75">
      <c r="A7" t="s">
        <v>8</v>
      </c>
      <c r="D7" s="4">
        <v>3386</v>
      </c>
      <c r="E7" s="5" t="s">
        <v>40</v>
      </c>
    </row>
    <row r="10" spans="2:4" ht="13.5" customHeight="1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790631.52</v>
      </c>
      <c r="C11" s="8">
        <f>SUM(C12:C23)</f>
        <v>784959.84</v>
      </c>
      <c r="D11" s="8">
        <f>SUM(D12:D23)</f>
        <v>5671.68</v>
      </c>
    </row>
    <row r="12" spans="1:4" ht="12.75">
      <c r="A12" s="9" t="s">
        <v>25</v>
      </c>
      <c r="B12" s="8">
        <v>63766.76</v>
      </c>
      <c r="C12" s="8">
        <v>63057.4</v>
      </c>
      <c r="D12" s="8">
        <f aca="true" t="shared" si="0" ref="D12:D23">B12-C12</f>
        <v>709.3600000000006</v>
      </c>
    </row>
    <row r="13" spans="1:4" ht="12.75">
      <c r="A13" s="9" t="s">
        <v>13</v>
      </c>
      <c r="B13" s="8">
        <v>63766.76</v>
      </c>
      <c r="C13" s="13">
        <v>62998.98</v>
      </c>
      <c r="D13" s="8">
        <f t="shared" si="0"/>
        <v>767.7799999999988</v>
      </c>
    </row>
    <row r="14" spans="1:4" ht="12.75">
      <c r="A14" s="9" t="s">
        <v>14</v>
      </c>
      <c r="B14" s="8">
        <v>63766.76</v>
      </c>
      <c r="C14" s="13">
        <v>72902.33</v>
      </c>
      <c r="D14" s="8">
        <f t="shared" si="0"/>
        <v>-9135.57</v>
      </c>
    </row>
    <row r="15" spans="1:4" ht="12.75">
      <c r="A15" s="9" t="s">
        <v>15</v>
      </c>
      <c r="B15" s="8">
        <v>63766.76</v>
      </c>
      <c r="C15" s="13">
        <v>63286.3</v>
      </c>
      <c r="D15" s="8">
        <f t="shared" si="0"/>
        <v>480.4599999999991</v>
      </c>
    </row>
    <row r="16" spans="1:4" ht="12.75">
      <c r="A16" s="9" t="s">
        <v>16</v>
      </c>
      <c r="B16" s="8">
        <v>63766.76</v>
      </c>
      <c r="C16" s="13">
        <v>64927.72</v>
      </c>
      <c r="D16" s="8">
        <f t="shared" si="0"/>
        <v>-1160.9599999999991</v>
      </c>
    </row>
    <row r="17" spans="1:4" ht="12.75">
      <c r="A17" s="9" t="s">
        <v>17</v>
      </c>
      <c r="B17" s="8">
        <v>63766.76</v>
      </c>
      <c r="C17" s="13">
        <v>59840.42</v>
      </c>
      <c r="D17" s="8">
        <f t="shared" si="0"/>
        <v>3926.340000000004</v>
      </c>
    </row>
    <row r="18" spans="1:4" ht="12.75">
      <c r="A18" s="9" t="s">
        <v>18</v>
      </c>
      <c r="B18" s="8">
        <v>63766.76</v>
      </c>
      <c r="C18" s="13">
        <v>61973.28</v>
      </c>
      <c r="D18" s="8">
        <f t="shared" si="0"/>
        <v>1793.4800000000032</v>
      </c>
    </row>
    <row r="19" spans="1:4" ht="12.75">
      <c r="A19" s="9" t="s">
        <v>19</v>
      </c>
      <c r="B19" s="8">
        <v>63766.76</v>
      </c>
      <c r="C19" s="13">
        <v>63317.37</v>
      </c>
      <c r="D19" s="8">
        <f t="shared" si="0"/>
        <v>449.3899999999994</v>
      </c>
    </row>
    <row r="20" spans="1:4" ht="12.75">
      <c r="A20" s="9" t="s">
        <v>20</v>
      </c>
      <c r="B20" s="13">
        <v>70124.36</v>
      </c>
      <c r="C20" s="13">
        <v>75142.24</v>
      </c>
      <c r="D20" s="8">
        <f t="shared" si="0"/>
        <v>-5017.880000000005</v>
      </c>
    </row>
    <row r="21" spans="1:4" ht="12.75">
      <c r="A21" s="9" t="s">
        <v>21</v>
      </c>
      <c r="B21" s="13">
        <v>70124.36</v>
      </c>
      <c r="C21" s="13">
        <v>66131.1</v>
      </c>
      <c r="D21" s="13">
        <f t="shared" si="0"/>
        <v>3993.2599999999948</v>
      </c>
    </row>
    <row r="22" spans="1:4" ht="12.75">
      <c r="A22" s="9" t="s">
        <v>22</v>
      </c>
      <c r="B22" s="13">
        <v>70124.36</v>
      </c>
      <c r="C22" s="13">
        <v>64908.78</v>
      </c>
      <c r="D22" s="13">
        <f t="shared" si="0"/>
        <v>5215.580000000002</v>
      </c>
    </row>
    <row r="23" spans="1:4" ht="12.75">
      <c r="A23" s="9" t="s">
        <v>23</v>
      </c>
      <c r="B23" s="13">
        <v>70124.36</v>
      </c>
      <c r="C23" s="13">
        <v>66473.92</v>
      </c>
      <c r="D23" s="13">
        <f t="shared" si="0"/>
        <v>3650.4400000000023</v>
      </c>
    </row>
    <row r="24" spans="1:4" ht="12.75">
      <c r="A24" s="7" t="s">
        <v>24</v>
      </c>
      <c r="B24" s="8">
        <f>SUM(B25:B36)</f>
        <v>230.75999999999996</v>
      </c>
      <c r="C24" s="8">
        <f>SUM(C25:C36)</f>
        <v>235.24</v>
      </c>
      <c r="D24" s="8">
        <f>SUM(D25:D36)</f>
        <v>-4.479999999999993</v>
      </c>
    </row>
    <row r="25" spans="1:4" ht="12.75">
      <c r="A25" s="9" t="s">
        <v>25</v>
      </c>
      <c r="B25" s="8">
        <v>19.23</v>
      </c>
      <c r="C25" s="8">
        <v>19.23</v>
      </c>
      <c r="D25" s="8">
        <f aca="true" t="shared" si="1" ref="D25:D36">B25-C25</f>
        <v>0</v>
      </c>
    </row>
    <row r="26" spans="1:4" ht="12.75">
      <c r="A26" s="9" t="s">
        <v>13</v>
      </c>
      <c r="B26" s="8">
        <v>19.23</v>
      </c>
      <c r="C26" s="8">
        <v>19.23</v>
      </c>
      <c r="D26" s="8">
        <f t="shared" si="1"/>
        <v>0</v>
      </c>
    </row>
    <row r="27" spans="1:4" ht="12.75">
      <c r="A27" s="9" t="s">
        <v>14</v>
      </c>
      <c r="B27" s="8">
        <v>19.23</v>
      </c>
      <c r="C27" s="8">
        <v>23.68</v>
      </c>
      <c r="D27" s="8">
        <f t="shared" si="1"/>
        <v>-4.449999999999999</v>
      </c>
    </row>
    <row r="28" spans="1:4" ht="12.75">
      <c r="A28" s="9" t="s">
        <v>15</v>
      </c>
      <c r="B28" s="8">
        <v>19.23</v>
      </c>
      <c r="C28" s="8">
        <v>19.23</v>
      </c>
      <c r="D28" s="8">
        <f t="shared" si="1"/>
        <v>0</v>
      </c>
    </row>
    <row r="29" spans="1:4" ht="12.75">
      <c r="A29" s="9" t="s">
        <v>16</v>
      </c>
      <c r="B29" s="8">
        <v>19.23</v>
      </c>
      <c r="C29" s="8">
        <v>19.23</v>
      </c>
      <c r="D29" s="8">
        <f t="shared" si="1"/>
        <v>0</v>
      </c>
    </row>
    <row r="30" spans="1:4" ht="12.75">
      <c r="A30" s="9" t="s">
        <v>17</v>
      </c>
      <c r="B30" s="8">
        <v>19.23</v>
      </c>
      <c r="C30" s="8">
        <v>19.23</v>
      </c>
      <c r="D30" s="8">
        <f t="shared" si="1"/>
        <v>0</v>
      </c>
    </row>
    <row r="31" spans="1:4" ht="12.75">
      <c r="A31" s="9" t="s">
        <v>18</v>
      </c>
      <c r="B31" s="8">
        <v>19.23</v>
      </c>
      <c r="C31" s="13">
        <v>14.78</v>
      </c>
      <c r="D31" s="8">
        <f t="shared" si="1"/>
        <v>4.450000000000001</v>
      </c>
    </row>
    <row r="32" spans="1:4" ht="12.75">
      <c r="A32" s="9" t="s">
        <v>19</v>
      </c>
      <c r="B32" s="8">
        <v>19.23</v>
      </c>
      <c r="C32" s="13">
        <v>21.23</v>
      </c>
      <c r="D32" s="8">
        <f t="shared" si="1"/>
        <v>-2</v>
      </c>
    </row>
    <row r="33" spans="1:4" ht="12.75">
      <c r="A33" s="9" t="s">
        <v>20</v>
      </c>
      <c r="B33" s="8">
        <v>19.23</v>
      </c>
      <c r="C33" s="13">
        <v>21.49</v>
      </c>
      <c r="D33" s="8">
        <f t="shared" si="1"/>
        <v>-2.259999999999998</v>
      </c>
    </row>
    <row r="34" spans="1:4" ht="12.75">
      <c r="A34" s="9" t="s">
        <v>21</v>
      </c>
      <c r="B34" s="8">
        <v>19.23</v>
      </c>
      <c r="C34" s="13">
        <v>15.03</v>
      </c>
      <c r="D34" s="13">
        <f t="shared" si="1"/>
        <v>4.200000000000001</v>
      </c>
    </row>
    <row r="35" spans="1:4" ht="12.75">
      <c r="A35" s="9" t="s">
        <v>22</v>
      </c>
      <c r="B35" s="8">
        <v>19.23</v>
      </c>
      <c r="C35" s="13">
        <v>19.2</v>
      </c>
      <c r="D35" s="13">
        <f t="shared" si="1"/>
        <v>0.030000000000001137</v>
      </c>
    </row>
    <row r="36" spans="1:4" ht="12.75">
      <c r="A36" s="9" t="s">
        <v>23</v>
      </c>
      <c r="B36" s="8">
        <v>19.23</v>
      </c>
      <c r="C36" s="13">
        <v>23.68</v>
      </c>
      <c r="D36" s="13">
        <f t="shared" si="1"/>
        <v>-4.449999999999999</v>
      </c>
    </row>
    <row r="37" spans="1:4" ht="12.75">
      <c r="A37" s="9" t="s">
        <v>26</v>
      </c>
      <c r="B37" s="8">
        <f>B11+B24</f>
        <v>790862.28</v>
      </c>
      <c r="C37" s="8">
        <f>C11+C24</f>
        <v>785195.08</v>
      </c>
      <c r="D37" s="8">
        <f>D11+D24</f>
        <v>5667.200000000001</v>
      </c>
    </row>
    <row r="39" spans="1:4" ht="12.75">
      <c r="A39" t="s">
        <v>27</v>
      </c>
      <c r="D39" s="12">
        <f>D37</f>
        <v>5667.200000000001</v>
      </c>
    </row>
    <row r="41" spans="1:4" ht="12.75">
      <c r="A41" s="11" t="s">
        <v>28</v>
      </c>
      <c r="D41" s="12">
        <f>D42+D43</f>
        <v>56836.944</v>
      </c>
    </row>
    <row r="42" spans="1:4" ht="12.75" hidden="1">
      <c r="A42" s="11" t="s">
        <v>29</v>
      </c>
      <c r="D42" s="12">
        <f>(1.33*4*D3)+(1.21*8*D3)</f>
        <v>47682</v>
      </c>
    </row>
    <row r="43" spans="1:4" ht="12.75" hidden="1">
      <c r="A43" s="11" t="s">
        <v>30</v>
      </c>
      <c r="D43" s="12">
        <f>(0.24*12*D3)</f>
        <v>9154.944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1321*0.22*4+(1321*2.5)</f>
        <v>4464.98</v>
      </c>
    </row>
    <row r="46" spans="1:4" ht="12.75">
      <c r="A46" s="11" t="s">
        <v>80</v>
      </c>
      <c r="D46" s="12">
        <f>(2.66*4*D3)+(2.42*8*D3)</f>
        <v>95364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(0.72*2*D3)</f>
        <v>4577.472</v>
      </c>
    </row>
    <row r="49" spans="1:4" ht="12.75">
      <c r="A49" s="11" t="s">
        <v>33</v>
      </c>
      <c r="D49" s="12">
        <f>(1.45*4*D3)+(1.32*8*D3)</f>
        <v>52005.168000000005</v>
      </c>
    </row>
    <row r="50" spans="1:4" ht="12.75">
      <c r="A50" s="11" t="s">
        <v>34</v>
      </c>
      <c r="D50" s="12">
        <f>(5.11*4*D3)+(4.51*8*D3)</f>
        <v>179665.776</v>
      </c>
    </row>
    <row r="51" spans="1:4" ht="12.75">
      <c r="A51" s="11" t="s">
        <v>35</v>
      </c>
      <c r="D51" s="12">
        <f>(0.29*4*D3)+(0.26*8*D3)</f>
        <v>10299.312</v>
      </c>
    </row>
    <row r="52" spans="1:4" ht="12.75">
      <c r="A52" s="11" t="s">
        <v>78</v>
      </c>
      <c r="D52" s="12">
        <f>(3.87*4*D3)+(3.52*8*D3)</f>
        <v>138722.832</v>
      </c>
    </row>
    <row r="53" spans="1:4" ht="12.75">
      <c r="A53" s="11" t="s">
        <v>36</v>
      </c>
      <c r="D53" s="12">
        <f>2.25*12*D4</f>
        <v>1620</v>
      </c>
    </row>
    <row r="54" spans="1:4" ht="12.75">
      <c r="A54" s="11" t="s">
        <v>37</v>
      </c>
      <c r="D54" s="12">
        <v>40017.33</v>
      </c>
    </row>
    <row r="55" spans="1:4" ht="12.75">
      <c r="A55" s="11" t="s">
        <v>38</v>
      </c>
      <c r="D55" s="12">
        <f>(0.91*4*D3)+(0.83*8*D3)</f>
        <v>32678.064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</f>
        <v>616251.8779999999</v>
      </c>
    </row>
    <row r="59" spans="1:8" ht="12.75">
      <c r="A59" s="11"/>
      <c r="D59" s="12"/>
      <c r="H59" s="22"/>
    </row>
    <row r="60" spans="1:4" ht="12.75">
      <c r="A60" t="s">
        <v>65</v>
      </c>
      <c r="D60" s="12">
        <f>C37-D58</f>
        <v>168943.20200000005</v>
      </c>
    </row>
    <row r="61" ht="12.75">
      <c r="H61" s="22"/>
    </row>
    <row r="63" ht="12.75">
      <c r="H63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H70"/>
  <sheetViews>
    <sheetView zoomScalePageLayoutView="0" workbookViewId="0" topLeftCell="A1">
      <selection activeCell="G57" sqref="G57"/>
    </sheetView>
  </sheetViews>
  <sheetFormatPr defaultColWidth="9.140625" defaultRowHeight="12.75"/>
  <cols>
    <col min="1" max="1" width="13.00390625" style="0" customWidth="1"/>
    <col min="2" max="2" width="16.140625" style="0" customWidth="1"/>
    <col min="3" max="3" width="13.421875" style="0" customWidth="1"/>
    <col min="4" max="4" width="13.140625" style="0" customWidth="1"/>
  </cols>
  <sheetData>
    <row r="1" spans="1:7" ht="12.75">
      <c r="A1" s="1" t="s">
        <v>0</v>
      </c>
      <c r="B1" s="2" t="s">
        <v>1</v>
      </c>
      <c r="C1" s="1" t="s">
        <v>57</v>
      </c>
      <c r="D1" s="1"/>
      <c r="E1" s="1" t="s">
        <v>2</v>
      </c>
      <c r="F1" s="3">
        <v>4</v>
      </c>
      <c r="G1">
        <v>2016</v>
      </c>
    </row>
    <row r="3" spans="1:5" ht="12.75">
      <c r="A3" t="s">
        <v>3</v>
      </c>
      <c r="D3" s="4">
        <v>6384.1</v>
      </c>
      <c r="E3" s="5" t="s">
        <v>40</v>
      </c>
    </row>
    <row r="4" spans="1:5" ht="12.75">
      <c r="A4" t="s">
        <v>4</v>
      </c>
      <c r="D4" s="4">
        <v>123</v>
      </c>
      <c r="E4" s="5"/>
    </row>
    <row r="5" spans="1:5" ht="12.75">
      <c r="A5" t="s">
        <v>5</v>
      </c>
      <c r="D5" s="4">
        <v>308</v>
      </c>
      <c r="E5" s="5" t="s">
        <v>6</v>
      </c>
    </row>
    <row r="6" spans="1:5" ht="12.75">
      <c r="A6" t="s">
        <v>7</v>
      </c>
      <c r="D6" s="4">
        <v>514.8</v>
      </c>
      <c r="E6" s="5" t="s">
        <v>40</v>
      </c>
    </row>
    <row r="7" spans="1:5" ht="12.75">
      <c r="A7" t="s">
        <v>8</v>
      </c>
      <c r="D7" s="4">
        <v>10726</v>
      </c>
      <c r="E7" s="5" t="s">
        <v>40</v>
      </c>
    </row>
    <row r="8" ht="12.75" hidden="1"/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1587853.28</v>
      </c>
      <c r="C11" s="8">
        <f>SUM(C12:C23)</f>
        <v>1571812.09</v>
      </c>
      <c r="D11" s="8">
        <f>SUM(D12:D23)</f>
        <v>16041.189999999915</v>
      </c>
    </row>
    <row r="12" spans="1:4" ht="12.75">
      <c r="A12" s="9" t="s">
        <v>25</v>
      </c>
      <c r="B12" s="8">
        <v>128065.04</v>
      </c>
      <c r="C12" s="8">
        <v>134128.12</v>
      </c>
      <c r="D12" s="8">
        <f aca="true" t="shared" si="0" ref="D12:D23">B12-C12</f>
        <v>-6063.080000000002</v>
      </c>
    </row>
    <row r="13" spans="1:4" ht="12.75">
      <c r="A13" s="9" t="s">
        <v>13</v>
      </c>
      <c r="B13" s="8">
        <v>128065.04</v>
      </c>
      <c r="C13" s="13">
        <v>148087.01</v>
      </c>
      <c r="D13" s="8">
        <f t="shared" si="0"/>
        <v>-20021.970000000016</v>
      </c>
    </row>
    <row r="14" spans="1:4" ht="12.75">
      <c r="A14" s="9" t="s">
        <v>14</v>
      </c>
      <c r="B14" s="8">
        <v>128065.04</v>
      </c>
      <c r="C14" s="13">
        <v>125887.73</v>
      </c>
      <c r="D14" s="8">
        <f t="shared" si="0"/>
        <v>2177.3099999999977</v>
      </c>
    </row>
    <row r="15" spans="1:4" ht="12.75">
      <c r="A15" s="9" t="s">
        <v>15</v>
      </c>
      <c r="B15" s="8">
        <v>128065.04</v>
      </c>
      <c r="C15" s="13">
        <v>126055.23</v>
      </c>
      <c r="D15" s="8">
        <f t="shared" si="0"/>
        <v>2009.8099999999977</v>
      </c>
    </row>
    <row r="16" spans="1:4" ht="12.75">
      <c r="A16" s="9" t="s">
        <v>16</v>
      </c>
      <c r="B16" s="8">
        <v>128065.04</v>
      </c>
      <c r="C16" s="13">
        <v>126146.92</v>
      </c>
      <c r="D16" s="8">
        <f t="shared" si="0"/>
        <v>1918.1199999999953</v>
      </c>
    </row>
    <row r="17" spans="1:4" ht="12.75">
      <c r="A17" s="9" t="s">
        <v>17</v>
      </c>
      <c r="B17" s="8">
        <v>128065.04</v>
      </c>
      <c r="C17" s="13">
        <v>126004.8</v>
      </c>
      <c r="D17" s="8">
        <f t="shared" si="0"/>
        <v>2060.2399999999907</v>
      </c>
    </row>
    <row r="18" spans="1:4" ht="12.75">
      <c r="A18" s="9" t="s">
        <v>18</v>
      </c>
      <c r="B18" s="8">
        <v>128065.04</v>
      </c>
      <c r="C18" s="13">
        <v>116097.22</v>
      </c>
      <c r="D18" s="8">
        <f t="shared" si="0"/>
        <v>11967.819999999992</v>
      </c>
    </row>
    <row r="19" spans="1:4" ht="12.75">
      <c r="A19" s="9" t="s">
        <v>19</v>
      </c>
      <c r="B19" s="8">
        <v>128065.04</v>
      </c>
      <c r="C19" s="13">
        <v>135812.82</v>
      </c>
      <c r="D19" s="8">
        <f t="shared" si="0"/>
        <v>-7747.780000000013</v>
      </c>
    </row>
    <row r="20" spans="1:4" ht="12.75">
      <c r="A20" s="9" t="s">
        <v>20</v>
      </c>
      <c r="B20" s="13">
        <v>140833.24</v>
      </c>
      <c r="C20" s="13">
        <v>134861.18</v>
      </c>
      <c r="D20" s="8">
        <f t="shared" si="0"/>
        <v>5972.059999999998</v>
      </c>
    </row>
    <row r="21" spans="1:4" ht="12.75">
      <c r="A21" s="9" t="s">
        <v>21</v>
      </c>
      <c r="B21" s="13">
        <v>140833.24</v>
      </c>
      <c r="C21" s="13">
        <v>134946.24</v>
      </c>
      <c r="D21" s="13">
        <f t="shared" si="0"/>
        <v>5887</v>
      </c>
    </row>
    <row r="22" spans="1:4" ht="12.75">
      <c r="A22" s="9" t="s">
        <v>22</v>
      </c>
      <c r="B22" s="13">
        <v>140833.24</v>
      </c>
      <c r="C22" s="13">
        <v>132073.22</v>
      </c>
      <c r="D22" s="13">
        <f t="shared" si="0"/>
        <v>8760.01999999999</v>
      </c>
    </row>
    <row r="23" spans="1:4" ht="12.75">
      <c r="A23" s="9" t="s">
        <v>23</v>
      </c>
      <c r="B23" s="13">
        <v>140833.24</v>
      </c>
      <c r="C23" s="13">
        <v>131711.6</v>
      </c>
      <c r="D23" s="13">
        <f t="shared" si="0"/>
        <v>9121.639999999985</v>
      </c>
    </row>
    <row r="24" spans="1:4" ht="12.75">
      <c r="A24" s="7" t="s">
        <v>24</v>
      </c>
      <c r="B24" s="8">
        <f>SUM(B25:B36)</f>
        <v>531.9599999999999</v>
      </c>
      <c r="C24" s="8">
        <f>SUM(C25:C36)</f>
        <v>513.66</v>
      </c>
      <c r="D24" s="8">
        <f>SUM(D25:D36)</f>
        <v>18.299999999999976</v>
      </c>
    </row>
    <row r="25" spans="1:4" ht="12.75">
      <c r="A25" s="9" t="s">
        <v>25</v>
      </c>
      <c r="B25" s="8">
        <v>44.33</v>
      </c>
      <c r="C25" s="8">
        <v>32.67</v>
      </c>
      <c r="D25" s="8">
        <f aca="true" t="shared" si="1" ref="D25:D32">B25-C25</f>
        <v>11.659999999999997</v>
      </c>
    </row>
    <row r="26" spans="1:4" ht="12.75">
      <c r="A26" s="9" t="s">
        <v>13</v>
      </c>
      <c r="B26" s="8">
        <v>44.33</v>
      </c>
      <c r="C26" s="13">
        <v>29.23</v>
      </c>
      <c r="D26" s="8">
        <f t="shared" si="1"/>
        <v>15.099999999999998</v>
      </c>
    </row>
    <row r="27" spans="1:4" ht="12.75">
      <c r="A27" s="9" t="s">
        <v>14</v>
      </c>
      <c r="B27" s="8">
        <v>44.33</v>
      </c>
      <c r="C27" s="13">
        <v>54.63</v>
      </c>
      <c r="D27" s="8">
        <f t="shared" si="1"/>
        <v>-10.300000000000004</v>
      </c>
    </row>
    <row r="28" spans="1:4" ht="12.75">
      <c r="A28" s="9" t="s">
        <v>15</v>
      </c>
      <c r="B28" s="8">
        <v>44.33</v>
      </c>
      <c r="C28" s="13">
        <v>29.3</v>
      </c>
      <c r="D28" s="8">
        <f t="shared" si="1"/>
        <v>15.029999999999998</v>
      </c>
    </row>
    <row r="29" spans="1:4" ht="12.75">
      <c r="A29" s="9" t="s">
        <v>16</v>
      </c>
      <c r="B29" s="8">
        <v>44.33</v>
      </c>
      <c r="C29" s="13">
        <v>79.25</v>
      </c>
      <c r="D29" s="8">
        <f t="shared" si="1"/>
        <v>-34.92</v>
      </c>
    </row>
    <row r="30" spans="1:4" ht="12.75">
      <c r="A30" s="9" t="s">
        <v>17</v>
      </c>
      <c r="B30" s="8">
        <v>44.33</v>
      </c>
      <c r="C30" s="13">
        <v>83.02</v>
      </c>
      <c r="D30" s="8">
        <f t="shared" si="1"/>
        <v>-38.69</v>
      </c>
    </row>
    <row r="31" spans="1:4" ht="12.75">
      <c r="A31" s="9" t="s">
        <v>18</v>
      </c>
      <c r="B31" s="8">
        <v>44.33</v>
      </c>
      <c r="C31" s="13">
        <v>29.21</v>
      </c>
      <c r="D31" s="8">
        <f t="shared" si="1"/>
        <v>15.119999999999997</v>
      </c>
    </row>
    <row r="32" spans="1:4" ht="12.75">
      <c r="A32" s="9" t="s">
        <v>19</v>
      </c>
      <c r="B32" s="8">
        <v>44.33</v>
      </c>
      <c r="C32" s="13">
        <v>42.68</v>
      </c>
      <c r="D32" s="8">
        <f t="shared" si="1"/>
        <v>1.6499999999999986</v>
      </c>
    </row>
    <row r="33" spans="1:4" ht="12.75">
      <c r="A33" s="9" t="s">
        <v>20</v>
      </c>
      <c r="B33" s="8">
        <v>44.33</v>
      </c>
      <c r="C33" s="13">
        <v>39.49</v>
      </c>
      <c r="D33" s="8">
        <f>B33-C33</f>
        <v>4.839999999999996</v>
      </c>
    </row>
    <row r="34" spans="1:4" ht="12.75">
      <c r="A34" s="9" t="s">
        <v>21</v>
      </c>
      <c r="B34" s="8">
        <v>44.33</v>
      </c>
      <c r="C34" s="13">
        <v>33.77</v>
      </c>
      <c r="D34" s="13">
        <f>B34-C34</f>
        <v>10.559999999999995</v>
      </c>
    </row>
    <row r="35" spans="1:4" ht="12.75">
      <c r="A35" s="9" t="s">
        <v>22</v>
      </c>
      <c r="B35" s="8">
        <v>44.33</v>
      </c>
      <c r="C35" s="13">
        <v>24.75</v>
      </c>
      <c r="D35" s="13">
        <f>B35-C35</f>
        <v>19.58</v>
      </c>
    </row>
    <row r="36" spans="1:4" ht="12.75">
      <c r="A36" s="9" t="s">
        <v>23</v>
      </c>
      <c r="B36" s="8">
        <v>44.33</v>
      </c>
      <c r="C36" s="13">
        <v>35.66</v>
      </c>
      <c r="D36" s="13">
        <f>B36-C36</f>
        <v>8.670000000000002</v>
      </c>
    </row>
    <row r="37" spans="1:4" ht="12.75">
      <c r="A37" s="9" t="s">
        <v>26</v>
      </c>
      <c r="B37" s="8">
        <f>B11+B24</f>
        <v>1588385.24</v>
      </c>
      <c r="C37" s="8">
        <f>C11+C24</f>
        <v>1572325.75</v>
      </c>
      <c r="D37" s="8">
        <f>D11+D24</f>
        <v>16059.489999999914</v>
      </c>
    </row>
    <row r="39" spans="1:4" ht="12.75">
      <c r="A39" t="s">
        <v>27</v>
      </c>
      <c r="D39" s="12">
        <f>D37</f>
        <v>16059.489999999914</v>
      </c>
    </row>
    <row r="41" spans="1:4" ht="12.75">
      <c r="A41" s="11" t="s">
        <v>28</v>
      </c>
      <c r="D41" s="12">
        <f>D42+D43</f>
        <v>114147.708</v>
      </c>
    </row>
    <row r="42" spans="1:4" ht="12.75" hidden="1">
      <c r="A42" s="11" t="s">
        <v>29</v>
      </c>
      <c r="D42" s="12">
        <f>(1.33*4*D3)+(1.21*8*D3)</f>
        <v>95761.5</v>
      </c>
    </row>
    <row r="43" spans="1:4" ht="12.75" hidden="1">
      <c r="A43" s="11" t="s">
        <v>30</v>
      </c>
      <c r="D43" s="12">
        <f>(0.24*12*D3)</f>
        <v>18386.208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2619.8*0.22*4+(2619.8*2.5)</f>
        <v>8854.923999999999</v>
      </c>
    </row>
    <row r="46" spans="1:4" ht="12.75">
      <c r="A46" s="11" t="s">
        <v>80</v>
      </c>
      <c r="D46" s="12">
        <f>(2.66*4*D3)+(2.42*8*D3)</f>
        <v>191523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(0.72*2*D3)</f>
        <v>9193.104</v>
      </c>
    </row>
    <row r="49" spans="1:4" ht="12.75">
      <c r="A49" s="11" t="s">
        <v>33</v>
      </c>
      <c r="D49" s="12">
        <f>(1.45*4*D3)+(1.32*8*D3)</f>
        <v>104443.876</v>
      </c>
    </row>
    <row r="50" spans="1:4" ht="12.75">
      <c r="A50" s="11" t="s">
        <v>34</v>
      </c>
      <c r="D50" s="12">
        <f>(5.11*4*D3)+(4.51*8*D3)</f>
        <v>360829.33200000005</v>
      </c>
    </row>
    <row r="51" spans="1:4" ht="12.75">
      <c r="A51" s="11" t="s">
        <v>35</v>
      </c>
      <c r="D51" s="12">
        <f>(0.29*4*D3)+(0.26*8*D3)</f>
        <v>20684.484</v>
      </c>
    </row>
    <row r="52" spans="1:4" ht="12.75">
      <c r="A52" s="11" t="s">
        <v>78</v>
      </c>
      <c r="D52" s="12">
        <f>(3.87*4*D3)+(3.52*8*D3)</f>
        <v>278602.124</v>
      </c>
    </row>
    <row r="53" spans="1:4" ht="12.75">
      <c r="A53" s="11" t="s">
        <v>36</v>
      </c>
      <c r="D53" s="12">
        <f>2.25*12*D4</f>
        <v>3321</v>
      </c>
    </row>
    <row r="54" spans="1:4" ht="12.75">
      <c r="A54" s="11" t="s">
        <v>37</v>
      </c>
      <c r="D54" s="12">
        <v>232063.5</v>
      </c>
    </row>
    <row r="55" spans="1:4" ht="12.75">
      <c r="A55" s="11" t="s">
        <v>38</v>
      </c>
      <c r="D55" s="12">
        <f>(0.91*4*D3)+(0.83*8*D3)</f>
        <v>65628.54800000001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</f>
        <v>1389291.6</v>
      </c>
    </row>
    <row r="59" spans="1:4" ht="12.75">
      <c r="A59" s="11"/>
      <c r="D59" s="12"/>
    </row>
    <row r="60" spans="1:8" ht="12.75">
      <c r="A60" t="s">
        <v>69</v>
      </c>
      <c r="D60" s="12">
        <f>C37-D58</f>
        <v>183034.1499999999</v>
      </c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H71"/>
  <sheetViews>
    <sheetView zoomScalePageLayoutView="0" workbookViewId="0" topLeftCell="A1">
      <selection activeCell="A56" sqref="A56:IV56"/>
    </sheetView>
  </sheetViews>
  <sheetFormatPr defaultColWidth="9.140625" defaultRowHeight="12.75"/>
  <cols>
    <col min="1" max="1" width="16.8515625" style="0" customWidth="1"/>
    <col min="2" max="2" width="14.140625" style="0" customWidth="1"/>
    <col min="3" max="3" width="15.421875" style="0" customWidth="1"/>
    <col min="4" max="4" width="13.57421875" style="0" customWidth="1"/>
    <col min="5" max="5" width="5.00390625" style="0" customWidth="1"/>
    <col min="6" max="6" width="3.7109375" style="0" customWidth="1"/>
  </cols>
  <sheetData>
    <row r="1" spans="1:7" ht="12.75">
      <c r="A1" s="1" t="s">
        <v>0</v>
      </c>
      <c r="B1" s="2" t="s">
        <v>1</v>
      </c>
      <c r="C1" s="1" t="s">
        <v>57</v>
      </c>
      <c r="D1" s="1"/>
      <c r="E1" s="1" t="s">
        <v>2</v>
      </c>
      <c r="F1" s="3">
        <v>8</v>
      </c>
      <c r="G1">
        <v>2016</v>
      </c>
    </row>
    <row r="3" spans="1:5" ht="12.75">
      <c r="A3" t="s">
        <v>3</v>
      </c>
      <c r="D3" s="4">
        <v>3190</v>
      </c>
      <c r="E3" s="5" t="s">
        <v>40</v>
      </c>
    </row>
    <row r="4" spans="1:5" ht="12.75">
      <c r="A4" t="s">
        <v>4</v>
      </c>
      <c r="D4" s="4">
        <v>60</v>
      </c>
      <c r="E4" s="5"/>
    </row>
    <row r="5" spans="1:5" ht="12.75">
      <c r="A5" t="s">
        <v>5</v>
      </c>
      <c r="D5" s="4">
        <v>136</v>
      </c>
      <c r="E5" s="5" t="s">
        <v>6</v>
      </c>
    </row>
    <row r="6" spans="1:5" ht="12.75">
      <c r="A6" t="s">
        <v>7</v>
      </c>
      <c r="D6" s="4">
        <v>370.2</v>
      </c>
      <c r="E6" s="5" t="s">
        <v>40</v>
      </c>
    </row>
    <row r="7" spans="1:5" ht="12.75">
      <c r="A7" t="s">
        <v>8</v>
      </c>
      <c r="D7" s="4">
        <v>3761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792376.1</v>
      </c>
      <c r="C11" s="8">
        <f>SUM(C12:C23)</f>
        <v>808172.48</v>
      </c>
      <c r="D11" s="8">
        <f>SUM(D12:D23)</f>
        <v>-15796.37999999999</v>
      </c>
    </row>
    <row r="12" spans="1:4" ht="12.75">
      <c r="A12" s="9" t="s">
        <v>25</v>
      </c>
      <c r="B12" s="8">
        <v>63991.36</v>
      </c>
      <c r="C12" s="8">
        <v>64177.41</v>
      </c>
      <c r="D12" s="8">
        <f aca="true" t="shared" si="0" ref="D12:D23">B12-C12</f>
        <v>-186.0500000000029</v>
      </c>
    </row>
    <row r="13" spans="1:4" ht="12.75">
      <c r="A13" s="9" t="s">
        <v>13</v>
      </c>
      <c r="B13" s="8">
        <v>63991.36</v>
      </c>
      <c r="C13" s="13">
        <v>54040.27</v>
      </c>
      <c r="D13" s="8">
        <f t="shared" si="0"/>
        <v>9951.090000000004</v>
      </c>
    </row>
    <row r="14" spans="1:4" ht="12.75">
      <c r="A14" s="9" t="s">
        <v>14</v>
      </c>
      <c r="B14" s="8">
        <v>63991.36</v>
      </c>
      <c r="C14" s="13">
        <v>67047.69</v>
      </c>
      <c r="D14" s="8">
        <f t="shared" si="0"/>
        <v>-3056.3300000000017</v>
      </c>
    </row>
    <row r="15" spans="1:4" ht="12.75">
      <c r="A15" s="9" t="s">
        <v>15</v>
      </c>
      <c r="B15" s="8">
        <v>63991.36</v>
      </c>
      <c r="C15" s="13">
        <v>54835.29</v>
      </c>
      <c r="D15" s="8">
        <f t="shared" si="0"/>
        <v>9156.07</v>
      </c>
    </row>
    <row r="16" spans="1:4" ht="12.75">
      <c r="A16" s="9" t="s">
        <v>16</v>
      </c>
      <c r="B16" s="8">
        <f>63991.36-1018.16</f>
        <v>62973.2</v>
      </c>
      <c r="C16" s="13">
        <v>59569.34</v>
      </c>
      <c r="D16" s="8">
        <f t="shared" si="0"/>
        <v>3403.8600000000006</v>
      </c>
    </row>
    <row r="17" spans="1:4" ht="12.75">
      <c r="A17" s="9" t="s">
        <v>17</v>
      </c>
      <c r="B17" s="8">
        <v>63991.36</v>
      </c>
      <c r="C17" s="13">
        <v>74162.43</v>
      </c>
      <c r="D17" s="8">
        <f>B17-C17</f>
        <v>-10171.069999999992</v>
      </c>
    </row>
    <row r="18" spans="1:4" ht="12.75">
      <c r="A18" s="9" t="s">
        <v>18</v>
      </c>
      <c r="B18" s="8">
        <v>63991.36</v>
      </c>
      <c r="C18" s="13">
        <v>68657.2</v>
      </c>
      <c r="D18" s="8">
        <f>B18-C18</f>
        <v>-4665.8399999999965</v>
      </c>
    </row>
    <row r="19" spans="1:4" ht="12.75">
      <c r="A19" s="9" t="s">
        <v>19</v>
      </c>
      <c r="B19" s="13">
        <v>63969.3</v>
      </c>
      <c r="C19" s="13">
        <v>83135.84</v>
      </c>
      <c r="D19" s="8">
        <f t="shared" si="0"/>
        <v>-19166.539999999994</v>
      </c>
    </row>
    <row r="20" spans="1:4" ht="12.75">
      <c r="A20" s="9" t="s">
        <v>20</v>
      </c>
      <c r="B20" s="13">
        <v>70371.36</v>
      </c>
      <c r="C20" s="13">
        <v>67473.2</v>
      </c>
      <c r="D20" s="8">
        <f t="shared" si="0"/>
        <v>2898.1600000000035</v>
      </c>
    </row>
    <row r="21" spans="1:4" ht="12.75">
      <c r="A21" s="9" t="s">
        <v>21</v>
      </c>
      <c r="B21" s="13">
        <v>70371.36</v>
      </c>
      <c r="C21" s="13">
        <v>72281.88</v>
      </c>
      <c r="D21" s="13">
        <f t="shared" si="0"/>
        <v>-1910.520000000004</v>
      </c>
    </row>
    <row r="22" spans="1:4" ht="12.75">
      <c r="A22" s="9" t="s">
        <v>22</v>
      </c>
      <c r="B22" s="13">
        <v>70371.36</v>
      </c>
      <c r="C22" s="13">
        <v>68154.36</v>
      </c>
      <c r="D22" s="13">
        <f t="shared" si="0"/>
        <v>2217</v>
      </c>
    </row>
    <row r="23" spans="1:4" ht="12.75">
      <c r="A23" s="9" t="s">
        <v>23</v>
      </c>
      <c r="B23" s="13">
        <v>70371.36</v>
      </c>
      <c r="C23" s="13">
        <v>74637.57</v>
      </c>
      <c r="D23" s="13">
        <f t="shared" si="0"/>
        <v>-4266.210000000006</v>
      </c>
    </row>
    <row r="24" spans="1:4" ht="12.75">
      <c r="A24" s="7" t="s">
        <v>24</v>
      </c>
      <c r="B24" s="8">
        <f>SUM(B25:B36)</f>
        <v>393.95999999999987</v>
      </c>
      <c r="C24" s="8">
        <f>SUM(C25:C36)</f>
        <v>450.75999999999993</v>
      </c>
      <c r="D24" s="8">
        <f>SUM(D25:D36)</f>
        <v>-56.80000000000002</v>
      </c>
    </row>
    <row r="25" spans="1:4" ht="12.75">
      <c r="A25" s="9" t="s">
        <v>25</v>
      </c>
      <c r="B25" s="8">
        <v>32.83</v>
      </c>
      <c r="C25" s="8">
        <v>41.74</v>
      </c>
      <c r="D25" s="8">
        <f>B25-C25</f>
        <v>-8.910000000000004</v>
      </c>
    </row>
    <row r="26" spans="1:4" ht="12.75">
      <c r="A26" s="9" t="s">
        <v>13</v>
      </c>
      <c r="B26" s="8">
        <v>32.83</v>
      </c>
      <c r="C26" s="13">
        <v>20.42</v>
      </c>
      <c r="D26" s="8">
        <f>B26-C26</f>
        <v>12.409999999999997</v>
      </c>
    </row>
    <row r="27" spans="1:4" ht="12.75">
      <c r="A27" s="9" t="s">
        <v>14</v>
      </c>
      <c r="B27" s="8">
        <v>32.83</v>
      </c>
      <c r="C27" s="13">
        <v>51.21</v>
      </c>
      <c r="D27" s="8">
        <f>B27-C27</f>
        <v>-18.380000000000003</v>
      </c>
    </row>
    <row r="28" spans="1:4" ht="12.75">
      <c r="A28" s="9" t="s">
        <v>15</v>
      </c>
      <c r="B28" s="8">
        <v>32.83</v>
      </c>
      <c r="C28" s="13">
        <v>35.6</v>
      </c>
      <c r="D28" s="8">
        <f>B28-C28</f>
        <v>-2.770000000000003</v>
      </c>
    </row>
    <row r="29" spans="1:4" ht="12.75">
      <c r="A29" s="9" t="s">
        <v>16</v>
      </c>
      <c r="B29" s="8">
        <v>32.83</v>
      </c>
      <c r="C29" s="13">
        <v>38.22</v>
      </c>
      <c r="D29" s="8">
        <f aca="true" t="shared" si="1" ref="D29:D36">B29-C29</f>
        <v>-5.390000000000001</v>
      </c>
    </row>
    <row r="30" spans="1:4" ht="12.75">
      <c r="A30" s="9" t="s">
        <v>17</v>
      </c>
      <c r="B30" s="8">
        <v>32.83</v>
      </c>
      <c r="C30" s="13">
        <v>37.35</v>
      </c>
      <c r="D30" s="8">
        <f t="shared" si="1"/>
        <v>-4.520000000000003</v>
      </c>
    </row>
    <row r="31" spans="1:4" ht="12.75">
      <c r="A31" s="9" t="s">
        <v>18</v>
      </c>
      <c r="B31" s="8">
        <v>32.83</v>
      </c>
      <c r="C31" s="13">
        <v>44.41</v>
      </c>
      <c r="D31" s="8">
        <f t="shared" si="1"/>
        <v>-11.579999999999998</v>
      </c>
    </row>
    <row r="32" spans="1:4" ht="12.75">
      <c r="A32" s="9" t="s">
        <v>19</v>
      </c>
      <c r="B32" s="8">
        <v>32.83</v>
      </c>
      <c r="C32" s="13">
        <v>63.8</v>
      </c>
      <c r="D32" s="8">
        <f t="shared" si="1"/>
        <v>-30.97</v>
      </c>
    </row>
    <row r="33" spans="1:4" ht="12.75">
      <c r="A33" s="9" t="s">
        <v>20</v>
      </c>
      <c r="B33" s="8">
        <v>32.83</v>
      </c>
      <c r="C33" s="13">
        <v>32.58</v>
      </c>
      <c r="D33" s="8">
        <f t="shared" si="1"/>
        <v>0.25</v>
      </c>
    </row>
    <row r="34" spans="1:4" ht="12.75">
      <c r="A34" s="9" t="s">
        <v>21</v>
      </c>
      <c r="B34" s="8">
        <v>32.83</v>
      </c>
      <c r="C34" s="13">
        <v>24.08</v>
      </c>
      <c r="D34" s="13">
        <f t="shared" si="1"/>
        <v>8.75</v>
      </c>
    </row>
    <row r="35" spans="1:4" ht="12.75">
      <c r="A35" s="9" t="s">
        <v>22</v>
      </c>
      <c r="B35" s="8">
        <v>32.83</v>
      </c>
      <c r="C35" s="13">
        <v>24.03</v>
      </c>
      <c r="D35" s="13">
        <f t="shared" si="1"/>
        <v>8.799999999999997</v>
      </c>
    </row>
    <row r="36" spans="1:4" ht="12.75">
      <c r="A36" s="9" t="s">
        <v>23</v>
      </c>
      <c r="B36" s="8">
        <v>32.83</v>
      </c>
      <c r="C36" s="13">
        <v>37.32</v>
      </c>
      <c r="D36" s="13">
        <f t="shared" si="1"/>
        <v>-4.490000000000002</v>
      </c>
    </row>
    <row r="37" spans="1:4" ht="12.75">
      <c r="A37" s="9" t="s">
        <v>26</v>
      </c>
      <c r="B37" s="8">
        <f>B11+B24</f>
        <v>792770.0599999999</v>
      </c>
      <c r="C37" s="8">
        <f>C11+C24</f>
        <v>808623.24</v>
      </c>
      <c r="D37" s="8">
        <f>D11+D24</f>
        <v>-15853.17999999999</v>
      </c>
    </row>
    <row r="39" spans="1:4" ht="12.75">
      <c r="A39" t="s">
        <v>27</v>
      </c>
      <c r="D39" s="12">
        <f>D37</f>
        <v>-15853.17999999999</v>
      </c>
    </row>
    <row r="41" spans="1:4" ht="12" customHeight="1">
      <c r="A41" s="11" t="s">
        <v>28</v>
      </c>
      <c r="D41" s="12">
        <f>D42+D43</f>
        <v>57037.2</v>
      </c>
    </row>
    <row r="42" spans="1:4" ht="12.75" hidden="1">
      <c r="A42" s="11" t="s">
        <v>29</v>
      </c>
      <c r="D42" s="12">
        <f>(1.33*4*D3)+(1.21*8*D3)</f>
        <v>47850</v>
      </c>
    </row>
    <row r="43" spans="1:4" ht="12.75" hidden="1">
      <c r="A43" s="11" t="s">
        <v>30</v>
      </c>
      <c r="D43" s="12">
        <f>(0.24*12*D3)</f>
        <v>9187.199999999999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1327*0.22*4+(1327*2.5)</f>
        <v>4485.26</v>
      </c>
    </row>
    <row r="46" spans="1:4" ht="12.75">
      <c r="A46" s="11" t="s">
        <v>80</v>
      </c>
      <c r="D46" s="12">
        <f>(2.66*4*D3)+(2.42*8*D3)</f>
        <v>95700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(0.72*2*D3)</f>
        <v>4593.599999999999</v>
      </c>
    </row>
    <row r="49" spans="1:4" ht="12.75">
      <c r="A49" s="11" t="s">
        <v>33</v>
      </c>
      <c r="D49" s="12">
        <f>(1.45*4*D3)+(1.32*8*D3)</f>
        <v>52188.4</v>
      </c>
    </row>
    <row r="50" spans="1:4" ht="12.75">
      <c r="A50" s="11" t="s">
        <v>34</v>
      </c>
      <c r="D50" s="12">
        <f>(5.11*4*D3)+(4.51*8*D3)</f>
        <v>180298.8</v>
      </c>
    </row>
    <row r="51" spans="1:4" ht="12.75">
      <c r="A51" s="11" t="s">
        <v>35</v>
      </c>
      <c r="D51" s="12">
        <f>(0.29*4*D3)+(0.26*8*D3)</f>
        <v>10335.599999999999</v>
      </c>
    </row>
    <row r="52" spans="1:4" ht="12.75">
      <c r="A52" s="11" t="s">
        <v>78</v>
      </c>
      <c r="D52" s="12">
        <f>(3.87*4*D3)+(3.52*8*D3)</f>
        <v>139211.6</v>
      </c>
    </row>
    <row r="53" spans="1:4" ht="12.75">
      <c r="A53" s="11" t="s">
        <v>36</v>
      </c>
      <c r="D53" s="12">
        <f>2.25*12*D4</f>
        <v>1620</v>
      </c>
    </row>
    <row r="54" spans="1:4" ht="12.75">
      <c r="A54" s="11" t="s">
        <v>37</v>
      </c>
      <c r="D54" s="12">
        <v>277882</v>
      </c>
    </row>
    <row r="55" spans="1:4" ht="12.75">
      <c r="A55" s="11" t="s">
        <v>38</v>
      </c>
      <c r="D55" s="12">
        <f>(0.91*4*D3)+(0.83*8*D3)</f>
        <v>32793.2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</f>
        <v>856145.6599999999</v>
      </c>
    </row>
    <row r="59" spans="1:4" ht="12.75">
      <c r="A59" s="11"/>
      <c r="D59" s="12"/>
    </row>
    <row r="60" spans="1:4" ht="12.75">
      <c r="A60" t="s">
        <v>69</v>
      </c>
      <c r="D60" s="12">
        <f>C37-D58</f>
        <v>-47522.419999999925</v>
      </c>
    </row>
    <row r="71" ht="12.75">
      <c r="H71" s="22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H66"/>
  <sheetViews>
    <sheetView zoomScalePageLayoutView="0" workbookViewId="0" topLeftCell="A1">
      <selection activeCell="I57" sqref="I57"/>
    </sheetView>
  </sheetViews>
  <sheetFormatPr defaultColWidth="9.140625" defaultRowHeight="12.75"/>
  <cols>
    <col min="1" max="1" width="15.421875" style="0" customWidth="1"/>
    <col min="2" max="2" width="15.00390625" style="0" customWidth="1"/>
    <col min="3" max="3" width="15.28125" style="0" customWidth="1"/>
    <col min="4" max="4" width="13.28125" style="0" customWidth="1"/>
    <col min="5" max="5" width="4.7109375" style="0" customWidth="1"/>
    <col min="6" max="6" width="3.57421875" style="0" customWidth="1"/>
  </cols>
  <sheetData>
    <row r="1" spans="1:7" ht="12.75">
      <c r="A1" s="1" t="s">
        <v>0</v>
      </c>
      <c r="B1" s="2" t="s">
        <v>1</v>
      </c>
      <c r="C1" s="1" t="s">
        <v>58</v>
      </c>
      <c r="D1" s="1"/>
      <c r="E1" s="1" t="s">
        <v>2</v>
      </c>
      <c r="F1" s="3">
        <v>38</v>
      </c>
      <c r="G1">
        <v>2016</v>
      </c>
    </row>
    <row r="3" spans="1:5" ht="12.75">
      <c r="A3" t="s">
        <v>3</v>
      </c>
      <c r="D3" s="4">
        <v>4029.7</v>
      </c>
      <c r="E3" s="5" t="s">
        <v>40</v>
      </c>
    </row>
    <row r="4" spans="1:5" ht="12.75">
      <c r="A4" t="s">
        <v>4</v>
      </c>
      <c r="D4" s="4">
        <v>108</v>
      </c>
      <c r="E4" s="5"/>
    </row>
    <row r="5" spans="1:5" ht="12.75">
      <c r="A5" t="s">
        <v>5</v>
      </c>
      <c r="D5" s="4">
        <v>229</v>
      </c>
      <c r="E5" s="5" t="s">
        <v>6</v>
      </c>
    </row>
    <row r="6" spans="1:5" ht="12.75">
      <c r="A6" t="s">
        <v>7</v>
      </c>
      <c r="D6" s="4">
        <v>2739.7</v>
      </c>
      <c r="E6" s="5" t="s">
        <v>40</v>
      </c>
    </row>
    <row r="7" spans="1:5" ht="12.75">
      <c r="A7" t="s">
        <v>8</v>
      </c>
      <c r="D7" s="4">
        <v>322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1152123.88</v>
      </c>
      <c r="C11" s="8">
        <f>SUM(C12:C23)</f>
        <v>1113286.57</v>
      </c>
      <c r="D11" s="8">
        <f>SUM(D12:D23)</f>
        <v>38837.31000000003</v>
      </c>
    </row>
    <row r="12" spans="1:4" ht="12.75">
      <c r="A12" s="9" t="s">
        <v>25</v>
      </c>
      <c r="B12" s="8">
        <v>92924.89</v>
      </c>
      <c r="C12" s="8">
        <v>71654.68</v>
      </c>
      <c r="D12" s="8">
        <f aca="true" t="shared" si="0" ref="D12:D23">B12-C12</f>
        <v>21270.210000000006</v>
      </c>
    </row>
    <row r="13" spans="1:4" ht="12.75">
      <c r="A13" s="9" t="s">
        <v>13</v>
      </c>
      <c r="B13" s="8">
        <v>92924.89</v>
      </c>
      <c r="C13" s="13">
        <v>86933.42</v>
      </c>
      <c r="D13" s="8">
        <f t="shared" si="0"/>
        <v>5991.470000000001</v>
      </c>
    </row>
    <row r="14" spans="1:4" ht="12.75">
      <c r="A14" s="9" t="s">
        <v>14</v>
      </c>
      <c r="B14" s="8">
        <v>92920.27</v>
      </c>
      <c r="C14" s="13">
        <v>101900.32</v>
      </c>
      <c r="D14" s="8">
        <f t="shared" si="0"/>
        <v>-8980.050000000003</v>
      </c>
    </row>
    <row r="15" spans="1:4" ht="12.75">
      <c r="A15" s="9" t="s">
        <v>15</v>
      </c>
      <c r="B15" s="8">
        <v>92920.27</v>
      </c>
      <c r="C15" s="13">
        <v>97072.15</v>
      </c>
      <c r="D15" s="8">
        <f t="shared" si="0"/>
        <v>-4151.87999999999</v>
      </c>
    </row>
    <row r="16" spans="1:4" ht="12.75">
      <c r="A16" s="9" t="s">
        <v>16</v>
      </c>
      <c r="B16" s="8">
        <v>92920.27</v>
      </c>
      <c r="C16" s="13">
        <v>82881.35</v>
      </c>
      <c r="D16" s="8">
        <f t="shared" si="0"/>
        <v>10038.919999999998</v>
      </c>
    </row>
    <row r="17" spans="1:4" ht="12.75">
      <c r="A17" s="9" t="s">
        <v>17</v>
      </c>
      <c r="B17" s="8">
        <v>92920.27</v>
      </c>
      <c r="C17" s="13">
        <v>97766.42</v>
      </c>
      <c r="D17" s="8">
        <f t="shared" si="0"/>
        <v>-4846.149999999994</v>
      </c>
    </row>
    <row r="18" spans="1:4" ht="12.75">
      <c r="A18" s="9" t="s">
        <v>18</v>
      </c>
      <c r="B18" s="8">
        <v>92920.27</v>
      </c>
      <c r="C18" s="13">
        <v>72881.64</v>
      </c>
      <c r="D18" s="8">
        <f t="shared" si="0"/>
        <v>20038.630000000005</v>
      </c>
    </row>
    <row r="19" spans="1:4" ht="12.75">
      <c r="A19" s="9" t="s">
        <v>19</v>
      </c>
      <c r="B19" s="8">
        <v>92920.27</v>
      </c>
      <c r="C19" s="13">
        <v>92611.54</v>
      </c>
      <c r="D19" s="8">
        <f t="shared" si="0"/>
        <v>308.7300000000105</v>
      </c>
    </row>
    <row r="20" spans="1:4" ht="12.75">
      <c r="A20" s="9" t="s">
        <v>20</v>
      </c>
      <c r="B20" s="13">
        <v>102188.12</v>
      </c>
      <c r="C20" s="13">
        <v>99434.26</v>
      </c>
      <c r="D20" s="8">
        <f t="shared" si="0"/>
        <v>2753.8600000000006</v>
      </c>
    </row>
    <row r="21" spans="1:4" ht="12.75">
      <c r="A21" s="9" t="s">
        <v>21</v>
      </c>
      <c r="B21" s="13">
        <v>102188.12</v>
      </c>
      <c r="C21" s="13">
        <v>113430.41</v>
      </c>
      <c r="D21" s="13">
        <f t="shared" si="0"/>
        <v>-11242.290000000008</v>
      </c>
    </row>
    <row r="22" spans="1:4" ht="12.75">
      <c r="A22" s="9" t="s">
        <v>22</v>
      </c>
      <c r="B22" s="13">
        <v>102188.12</v>
      </c>
      <c r="C22" s="13">
        <v>86601.98</v>
      </c>
      <c r="D22" s="13">
        <f t="shared" si="0"/>
        <v>15586.14</v>
      </c>
    </row>
    <row r="23" spans="1:4" ht="12.75">
      <c r="A23" s="9" t="s">
        <v>23</v>
      </c>
      <c r="B23" s="13">
        <v>102188.12</v>
      </c>
      <c r="C23" s="13">
        <v>110118.4</v>
      </c>
      <c r="D23" s="13">
        <f t="shared" si="0"/>
        <v>-7930.279999999999</v>
      </c>
    </row>
    <row r="24" spans="1:4" ht="12.75">
      <c r="A24" s="7" t="s">
        <v>24</v>
      </c>
      <c r="B24" s="8">
        <f>SUM(B25:B36)</f>
        <v>577.79</v>
      </c>
      <c r="C24" s="8">
        <f>SUM(C25:C36)</f>
        <v>580.8199999999999</v>
      </c>
      <c r="D24" s="8">
        <f>SUM(D25:D36)</f>
        <v>-3.0299999999999834</v>
      </c>
    </row>
    <row r="25" spans="1:4" ht="12.75">
      <c r="A25" s="9" t="s">
        <v>25</v>
      </c>
      <c r="B25" s="8">
        <v>53.97</v>
      </c>
      <c r="C25" s="8">
        <v>28.11</v>
      </c>
      <c r="D25" s="8">
        <f aca="true" t="shared" si="1" ref="D25:D34">B25-C25</f>
        <v>25.86</v>
      </c>
    </row>
    <row r="26" spans="1:4" ht="12.75">
      <c r="A26" s="9" t="s">
        <v>13</v>
      </c>
      <c r="B26" s="8">
        <v>48.06</v>
      </c>
      <c r="C26" s="13">
        <v>76.03</v>
      </c>
      <c r="D26" s="8">
        <f t="shared" si="1"/>
        <v>-27.97</v>
      </c>
    </row>
    <row r="27" spans="1:4" ht="12.75">
      <c r="A27" s="9" t="s">
        <v>14</v>
      </c>
      <c r="B27" s="8">
        <v>48.06</v>
      </c>
      <c r="C27" s="13">
        <v>46.75</v>
      </c>
      <c r="D27" s="8">
        <f t="shared" si="1"/>
        <v>1.3100000000000023</v>
      </c>
    </row>
    <row r="28" spans="1:4" ht="12.75">
      <c r="A28" s="9" t="s">
        <v>15</v>
      </c>
      <c r="B28" s="8">
        <v>48.06</v>
      </c>
      <c r="C28" s="13">
        <v>68.54</v>
      </c>
      <c r="D28" s="8">
        <f t="shared" si="1"/>
        <v>-20.480000000000004</v>
      </c>
    </row>
    <row r="29" spans="1:4" ht="12.75">
      <c r="A29" s="9" t="s">
        <v>16</v>
      </c>
      <c r="B29" s="8">
        <v>48.06</v>
      </c>
      <c r="C29" s="13">
        <v>47.99</v>
      </c>
      <c r="D29" s="8">
        <f t="shared" si="1"/>
        <v>0.07000000000000028</v>
      </c>
    </row>
    <row r="30" spans="1:4" ht="12.75">
      <c r="A30" s="9" t="s">
        <v>17</v>
      </c>
      <c r="B30" s="8">
        <v>48.06</v>
      </c>
      <c r="C30" s="13">
        <v>47.51</v>
      </c>
      <c r="D30" s="8">
        <f t="shared" si="1"/>
        <v>0.5500000000000043</v>
      </c>
    </row>
    <row r="31" spans="1:4" ht="12.75">
      <c r="A31" s="9" t="s">
        <v>18</v>
      </c>
      <c r="B31" s="8">
        <v>48.06</v>
      </c>
      <c r="C31" s="13">
        <v>21.9</v>
      </c>
      <c r="D31" s="8">
        <f t="shared" si="1"/>
        <v>26.160000000000004</v>
      </c>
    </row>
    <row r="32" spans="1:4" ht="12.75">
      <c r="A32" s="9" t="s">
        <v>19</v>
      </c>
      <c r="B32" s="8">
        <v>48.06</v>
      </c>
      <c r="C32" s="13">
        <v>54.59</v>
      </c>
      <c r="D32" s="8">
        <f t="shared" si="1"/>
        <v>-6.530000000000001</v>
      </c>
    </row>
    <row r="33" spans="1:4" ht="12.75">
      <c r="A33" s="9" t="s">
        <v>20</v>
      </c>
      <c r="B33" s="8">
        <v>48.06</v>
      </c>
      <c r="C33" s="13">
        <v>42.51</v>
      </c>
      <c r="D33" s="8">
        <f t="shared" si="1"/>
        <v>5.550000000000004</v>
      </c>
    </row>
    <row r="34" spans="1:4" ht="12.75">
      <c r="A34" s="9" t="s">
        <v>21</v>
      </c>
      <c r="B34" s="8">
        <v>48.06</v>
      </c>
      <c r="C34" s="13">
        <v>64.27</v>
      </c>
      <c r="D34" s="13">
        <f t="shared" si="1"/>
        <v>-16.209999999999994</v>
      </c>
    </row>
    <row r="35" spans="1:4" ht="12.75">
      <c r="A35" s="9" t="s">
        <v>22</v>
      </c>
      <c r="B35" s="8">
        <v>45.64</v>
      </c>
      <c r="C35" s="13">
        <v>25.94</v>
      </c>
      <c r="D35" s="13">
        <f>B35-C35</f>
        <v>19.7</v>
      </c>
    </row>
    <row r="36" spans="1:4" ht="12.75">
      <c r="A36" s="9" t="s">
        <v>23</v>
      </c>
      <c r="B36" s="8">
        <v>45.64</v>
      </c>
      <c r="C36" s="13">
        <v>56.68</v>
      </c>
      <c r="D36" s="13">
        <f>B36-C36</f>
        <v>-11.04</v>
      </c>
    </row>
    <row r="37" spans="1:4" ht="12.75">
      <c r="A37" s="9" t="s">
        <v>26</v>
      </c>
      <c r="B37" s="8">
        <f>B11+B24</f>
        <v>1152701.67</v>
      </c>
      <c r="C37" s="8">
        <f>C11+C24</f>
        <v>1113867.3900000001</v>
      </c>
      <c r="D37" s="8">
        <f>D11+D24</f>
        <v>38834.28000000003</v>
      </c>
    </row>
    <row r="39" spans="1:4" ht="12.75">
      <c r="A39" t="s">
        <v>27</v>
      </c>
      <c r="D39" s="12">
        <f>D37</f>
        <v>38834.28000000003</v>
      </c>
    </row>
    <row r="41" spans="1:4" ht="12.75">
      <c r="A41" s="11" t="s">
        <v>28</v>
      </c>
      <c r="D41" s="12">
        <f>D42+D43</f>
        <v>72051.036</v>
      </c>
    </row>
    <row r="42" spans="1:4" ht="12.75" hidden="1">
      <c r="A42" s="11" t="s">
        <v>29</v>
      </c>
      <c r="D42" s="12">
        <f>(1.33*4*D3)+(1.21*8*D3)</f>
        <v>60445.5</v>
      </c>
    </row>
    <row r="43" spans="1:4" ht="12.75" hidden="1">
      <c r="A43" s="11" t="s">
        <v>30</v>
      </c>
      <c r="D43" s="12">
        <f>(0.24*12*D3)</f>
        <v>11605.535999999998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996.6*0.22*4+(996.6*2.5)</f>
        <v>3368.508</v>
      </c>
    </row>
    <row r="46" spans="1:4" ht="12.75">
      <c r="A46" s="11" t="s">
        <v>80</v>
      </c>
      <c r="D46" s="12">
        <f>(2.66*4*D3)+(2.42*8*D3)</f>
        <v>120891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8704.152</v>
      </c>
    </row>
    <row r="49" spans="1:4" ht="12.75">
      <c r="A49" s="11" t="s">
        <v>33</v>
      </c>
      <c r="D49" s="12">
        <f>(1.45*4*D3)+(1.32*8*D3)</f>
        <v>65925.89199999999</v>
      </c>
    </row>
    <row r="50" spans="1:4" ht="12.75">
      <c r="A50" s="11" t="s">
        <v>34</v>
      </c>
      <c r="D50" s="12">
        <f>(4.94*4*D3)+(4.51*8*D3)</f>
        <v>225018.448</v>
      </c>
    </row>
    <row r="51" spans="1:4" ht="12.75">
      <c r="A51" s="11" t="s">
        <v>35</v>
      </c>
      <c r="D51" s="12">
        <f>(0.29*4*D3)+(0.26*8*D3)</f>
        <v>13056.228</v>
      </c>
    </row>
    <row r="52" spans="1:4" ht="12.75">
      <c r="A52" s="11" t="s">
        <v>78</v>
      </c>
      <c r="D52" s="12">
        <f>(3.87*4*D3)+(3.52*8*D3)</f>
        <v>175856.108</v>
      </c>
    </row>
    <row r="53" spans="1:4" ht="12.75">
      <c r="A53" s="11" t="s">
        <v>36</v>
      </c>
      <c r="D53" s="12">
        <f>2.25*12*D4</f>
        <v>2916</v>
      </c>
    </row>
    <row r="54" spans="1:4" ht="12.75">
      <c r="A54" s="11" t="s">
        <v>37</v>
      </c>
      <c r="D54" s="12">
        <v>105667.5</v>
      </c>
    </row>
    <row r="55" spans="1:4" ht="12.75">
      <c r="A55" s="11" t="s">
        <v>38</v>
      </c>
      <c r="D55" s="12">
        <f>(0.7*4*D3)+(0.64*8*D3)</f>
        <v>31915.223999999995</v>
      </c>
    </row>
    <row r="56" spans="1:4" ht="12.75" hidden="1">
      <c r="A56" s="14" t="s">
        <v>62</v>
      </c>
      <c r="D56" s="12">
        <v>0</v>
      </c>
    </row>
    <row r="57" spans="1:4" ht="12.75">
      <c r="A57" s="11" t="s">
        <v>64</v>
      </c>
      <c r="D57" s="12">
        <f>(4.66*4*D3)+(4.24*8*D3)</f>
        <v>211801.032</v>
      </c>
    </row>
    <row r="58" spans="1:4" ht="12.75">
      <c r="A58" s="11"/>
      <c r="D58" s="12"/>
    </row>
    <row r="59" spans="1:4" ht="12.75">
      <c r="A59" s="11" t="s">
        <v>39</v>
      </c>
      <c r="D59" s="12">
        <f>D41+D44+D46+D47+D49+D50+D51+D52+D53+D54+D55+D56+D57-D56+D45+D48</f>
        <v>1037171.1280000001</v>
      </c>
    </row>
    <row r="60" spans="1:4" ht="12.75">
      <c r="A60" s="11"/>
      <c r="D60" s="12"/>
    </row>
    <row r="61" spans="1:4" ht="12.75">
      <c r="A61" t="s">
        <v>66</v>
      </c>
      <c r="D61" s="12">
        <f>C37-D59</f>
        <v>76696.26199999999</v>
      </c>
    </row>
    <row r="64" ht="12.75" hidden="1"/>
    <row r="66" ht="12.75">
      <c r="H66" s="22"/>
    </row>
    <row r="68" ht="12.75" hidden="1"/>
    <row r="69" ht="12.75" hidden="1"/>
    <row r="70" ht="12.75" hidden="1"/>
    <row r="75" ht="12.75" hidden="1"/>
    <row r="80" ht="12.75" hidden="1"/>
    <row r="81" ht="12.75" hidden="1"/>
    <row r="87" ht="12.75" hidden="1"/>
    <row r="88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H82"/>
  <sheetViews>
    <sheetView zoomScalePageLayoutView="0" workbookViewId="0" topLeftCell="A4">
      <selection activeCell="A63" sqref="A63:E93"/>
    </sheetView>
  </sheetViews>
  <sheetFormatPr defaultColWidth="9.140625" defaultRowHeight="12.75"/>
  <cols>
    <col min="1" max="2" width="14.00390625" style="0" customWidth="1"/>
    <col min="3" max="4" width="13.7109375" style="0" customWidth="1"/>
    <col min="5" max="5" width="23.421875" style="0" customWidth="1"/>
    <col min="6" max="6" width="13.421875" style="0" customWidth="1"/>
  </cols>
  <sheetData>
    <row r="1" spans="1:7" ht="12.75">
      <c r="A1" s="1" t="s">
        <v>0</v>
      </c>
      <c r="B1" s="2" t="s">
        <v>1</v>
      </c>
      <c r="C1" s="1" t="s">
        <v>52</v>
      </c>
      <c r="D1" s="1"/>
      <c r="E1" s="1" t="s">
        <v>2</v>
      </c>
      <c r="F1" s="3">
        <v>40</v>
      </c>
      <c r="G1">
        <v>2016</v>
      </c>
    </row>
    <row r="3" spans="1:5" ht="12.75">
      <c r="A3" t="s">
        <v>3</v>
      </c>
      <c r="D3" s="4">
        <v>4062.2</v>
      </c>
      <c r="E3" s="5" t="s">
        <v>40</v>
      </c>
    </row>
    <row r="4" spans="1:5" ht="12.75">
      <c r="A4" t="s">
        <v>4</v>
      </c>
      <c r="D4" s="4">
        <v>109</v>
      </c>
      <c r="E4" s="5"/>
    </row>
    <row r="5" spans="1:5" ht="12.75">
      <c r="A5" t="s">
        <v>5</v>
      </c>
      <c r="D5" s="4">
        <v>224</v>
      </c>
      <c r="E5" s="5" t="s">
        <v>6</v>
      </c>
    </row>
    <row r="6" spans="1:5" ht="12.75">
      <c r="A6" t="s">
        <v>7</v>
      </c>
      <c r="D6" s="4">
        <v>869.2</v>
      </c>
      <c r="E6" s="5" t="s">
        <v>40</v>
      </c>
    </row>
    <row r="7" spans="1:5" ht="12.75">
      <c r="A7" t="s">
        <v>8</v>
      </c>
      <c r="D7" s="4">
        <v>323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1161406.4400000002</v>
      </c>
      <c r="C11" s="8">
        <f>SUM(C12:C23)</f>
        <v>1090300.1500000001</v>
      </c>
      <c r="D11" s="8">
        <f>SUM(D12:D23)</f>
        <v>71106.29000000001</v>
      </c>
    </row>
    <row r="12" spans="1:4" ht="12.75">
      <c r="A12" s="9" t="s">
        <v>25</v>
      </c>
      <c r="B12" s="8">
        <v>93669.67</v>
      </c>
      <c r="C12" s="8">
        <v>88420.1</v>
      </c>
      <c r="D12" s="8">
        <f aca="true" t="shared" si="0" ref="D12:D23">B12-C12</f>
        <v>5249.569999999992</v>
      </c>
    </row>
    <row r="13" spans="1:4" ht="12.75">
      <c r="A13" s="9" t="s">
        <v>13</v>
      </c>
      <c r="B13" s="8">
        <v>93669.67</v>
      </c>
      <c r="C13" s="13">
        <v>76780.76</v>
      </c>
      <c r="D13" s="8">
        <f t="shared" si="0"/>
        <v>16888.910000000003</v>
      </c>
    </row>
    <row r="14" spans="1:4" ht="12.75">
      <c r="A14" s="9" t="s">
        <v>14</v>
      </c>
      <c r="B14" s="8">
        <v>93669.67</v>
      </c>
      <c r="C14" s="13">
        <v>111575.76</v>
      </c>
      <c r="D14" s="8">
        <f t="shared" si="0"/>
        <v>-17906.089999999997</v>
      </c>
    </row>
    <row r="15" spans="1:4" ht="12.75">
      <c r="A15" s="9" t="s">
        <v>15</v>
      </c>
      <c r="B15" s="8">
        <v>93669.67</v>
      </c>
      <c r="C15" s="13">
        <v>88350.86</v>
      </c>
      <c r="D15" s="8">
        <f t="shared" si="0"/>
        <v>5318.809999999998</v>
      </c>
    </row>
    <row r="16" spans="1:4" ht="12.75">
      <c r="A16" s="9" t="s">
        <v>16</v>
      </c>
      <c r="B16" s="8">
        <v>93669.67</v>
      </c>
      <c r="C16" s="13">
        <v>105158.29</v>
      </c>
      <c r="D16" s="8">
        <f t="shared" si="0"/>
        <v>-11488.619999999995</v>
      </c>
    </row>
    <row r="17" spans="1:4" ht="12.75">
      <c r="A17" s="9" t="s">
        <v>17</v>
      </c>
      <c r="B17" s="8">
        <v>93669.67</v>
      </c>
      <c r="C17" s="13">
        <v>89824.72</v>
      </c>
      <c r="D17" s="8">
        <f t="shared" si="0"/>
        <v>3844.949999999997</v>
      </c>
    </row>
    <row r="18" spans="1:4" ht="12.75">
      <c r="A18" s="9" t="s">
        <v>18</v>
      </c>
      <c r="B18" s="8">
        <v>93669.67</v>
      </c>
      <c r="C18" s="13">
        <v>91969.6</v>
      </c>
      <c r="D18" s="8">
        <f t="shared" si="0"/>
        <v>1700.0699999999924</v>
      </c>
    </row>
    <row r="19" spans="1:4" ht="12.75">
      <c r="A19" s="9" t="s">
        <v>19</v>
      </c>
      <c r="B19" s="8">
        <v>93669.67</v>
      </c>
      <c r="C19" s="13">
        <v>81606.92</v>
      </c>
      <c r="D19" s="8">
        <f t="shared" si="0"/>
        <v>12062.75</v>
      </c>
    </row>
    <row r="20" spans="1:4" ht="12.75">
      <c r="A20" s="9" t="s">
        <v>20</v>
      </c>
      <c r="B20" s="13">
        <v>103012.27</v>
      </c>
      <c r="C20" s="13">
        <v>81267.4</v>
      </c>
      <c r="D20" s="8">
        <f t="shared" si="0"/>
        <v>21744.87000000001</v>
      </c>
    </row>
    <row r="21" spans="1:4" ht="12.75">
      <c r="A21" s="9" t="s">
        <v>21</v>
      </c>
      <c r="B21" s="13">
        <v>103012.27</v>
      </c>
      <c r="C21" s="13">
        <v>107200.52</v>
      </c>
      <c r="D21" s="13">
        <f t="shared" si="0"/>
        <v>-4188.25</v>
      </c>
    </row>
    <row r="22" spans="1:4" ht="12.75">
      <c r="A22" s="9" t="s">
        <v>22</v>
      </c>
      <c r="B22" s="13">
        <v>103012.27</v>
      </c>
      <c r="C22" s="13">
        <v>79627.88</v>
      </c>
      <c r="D22" s="13">
        <f t="shared" si="0"/>
        <v>23384.39</v>
      </c>
    </row>
    <row r="23" spans="1:4" ht="12.75">
      <c r="A23" s="9" t="s">
        <v>23</v>
      </c>
      <c r="B23" s="13">
        <v>103012.27</v>
      </c>
      <c r="C23" s="13">
        <v>88517.34</v>
      </c>
      <c r="D23" s="13">
        <f t="shared" si="0"/>
        <v>14494.930000000008</v>
      </c>
    </row>
    <row r="24" spans="1:4" ht="12.75">
      <c r="A24" s="7" t="s">
        <v>24</v>
      </c>
      <c r="B24" s="8">
        <f>SUM(B25:B36)</f>
        <v>843.01</v>
      </c>
      <c r="C24" s="8">
        <f>SUM(C25:C36)</f>
        <v>656.33</v>
      </c>
      <c r="D24" s="8">
        <f>SUM(D25:D36)</f>
        <v>186.68</v>
      </c>
    </row>
    <row r="25" spans="1:4" ht="12.75">
      <c r="A25" s="9" t="s">
        <v>25</v>
      </c>
      <c r="B25" s="8">
        <v>72.93</v>
      </c>
      <c r="C25" s="8">
        <v>53.52</v>
      </c>
      <c r="D25" s="8">
        <f aca="true" t="shared" si="1" ref="D25:D36">B25-C25</f>
        <v>19.410000000000004</v>
      </c>
    </row>
    <row r="26" spans="1:4" ht="12.75">
      <c r="A26" s="9" t="s">
        <v>13</v>
      </c>
      <c r="B26" s="8">
        <v>72.93</v>
      </c>
      <c r="C26" s="13">
        <v>41.91</v>
      </c>
      <c r="D26" s="8">
        <f t="shared" si="1"/>
        <v>31.02000000000001</v>
      </c>
    </row>
    <row r="27" spans="1:4" ht="12.75">
      <c r="A27" s="9" t="s">
        <v>14</v>
      </c>
      <c r="B27" s="8">
        <v>70.45</v>
      </c>
      <c r="C27" s="13">
        <v>64.29</v>
      </c>
      <c r="D27" s="8">
        <f t="shared" si="1"/>
        <v>6.159999999999997</v>
      </c>
    </row>
    <row r="28" spans="1:4" ht="12.75">
      <c r="A28" s="9" t="s">
        <v>15</v>
      </c>
      <c r="B28" s="8">
        <v>70.45</v>
      </c>
      <c r="C28" s="13">
        <v>74.25</v>
      </c>
      <c r="D28" s="8">
        <f t="shared" si="1"/>
        <v>-3.799999999999997</v>
      </c>
    </row>
    <row r="29" spans="1:4" ht="12.75">
      <c r="A29" s="9" t="s">
        <v>16</v>
      </c>
      <c r="B29" s="8">
        <v>70.45</v>
      </c>
      <c r="C29" s="13">
        <v>92.31</v>
      </c>
      <c r="D29" s="8">
        <f t="shared" si="1"/>
        <v>-21.86</v>
      </c>
    </row>
    <row r="30" spans="1:4" ht="12.75">
      <c r="A30" s="9" t="s">
        <v>17</v>
      </c>
      <c r="B30" s="8">
        <v>70.45</v>
      </c>
      <c r="C30" s="13">
        <v>46.71</v>
      </c>
      <c r="D30" s="8">
        <f t="shared" si="1"/>
        <v>23.740000000000002</v>
      </c>
    </row>
    <row r="31" spans="1:4" ht="12.75">
      <c r="A31" s="9" t="s">
        <v>18</v>
      </c>
      <c r="B31" s="8">
        <v>70.45</v>
      </c>
      <c r="C31" s="13">
        <v>57.7</v>
      </c>
      <c r="D31" s="8">
        <f t="shared" si="1"/>
        <v>12.75</v>
      </c>
    </row>
    <row r="32" spans="1:4" ht="12.75">
      <c r="A32" s="9" t="s">
        <v>19</v>
      </c>
      <c r="B32" s="8">
        <v>70.45</v>
      </c>
      <c r="C32" s="13">
        <v>42.98</v>
      </c>
      <c r="D32" s="8">
        <f t="shared" si="1"/>
        <v>27.470000000000006</v>
      </c>
    </row>
    <row r="33" spans="1:4" ht="12.75">
      <c r="A33" s="9" t="s">
        <v>20</v>
      </c>
      <c r="B33" s="8">
        <v>70.45</v>
      </c>
      <c r="C33" s="13">
        <v>46.15</v>
      </c>
      <c r="D33" s="8">
        <f t="shared" si="1"/>
        <v>24.300000000000004</v>
      </c>
    </row>
    <row r="34" spans="1:4" ht="12.75">
      <c r="A34" s="9" t="s">
        <v>21</v>
      </c>
      <c r="B34" s="8">
        <v>68</v>
      </c>
      <c r="C34" s="13">
        <v>56.38</v>
      </c>
      <c r="D34" s="13">
        <f t="shared" si="1"/>
        <v>11.619999999999997</v>
      </c>
    </row>
    <row r="35" spans="1:4" ht="12.75">
      <c r="A35" s="9" t="s">
        <v>22</v>
      </c>
      <c r="B35" s="8">
        <v>68</v>
      </c>
      <c r="C35" s="13">
        <v>32.99</v>
      </c>
      <c r="D35" s="13">
        <f t="shared" si="1"/>
        <v>35.01</v>
      </c>
    </row>
    <row r="36" spans="1:4" ht="12.75">
      <c r="A36" s="9" t="s">
        <v>23</v>
      </c>
      <c r="B36" s="8">
        <v>68</v>
      </c>
      <c r="C36" s="13">
        <v>47.14</v>
      </c>
      <c r="D36" s="13">
        <f t="shared" si="1"/>
        <v>20.86</v>
      </c>
    </row>
    <row r="37" spans="1:4" ht="12.75">
      <c r="A37" s="9" t="s">
        <v>26</v>
      </c>
      <c r="B37" s="8">
        <f>B11+B24</f>
        <v>1162249.4500000002</v>
      </c>
      <c r="C37" s="8">
        <f>C11+C24</f>
        <v>1090956.4800000002</v>
      </c>
      <c r="D37" s="8">
        <f>D11+D24</f>
        <v>71292.97</v>
      </c>
    </row>
    <row r="39" spans="1:4" ht="12.75">
      <c r="A39" t="s">
        <v>27</v>
      </c>
      <c r="D39" s="12">
        <f>D37</f>
        <v>71292.97</v>
      </c>
    </row>
    <row r="41" spans="1:4" ht="12.75">
      <c r="A41" s="11" t="s">
        <v>28</v>
      </c>
      <c r="D41" s="12">
        <f>D42+D43</f>
        <v>72632.136</v>
      </c>
    </row>
    <row r="42" spans="1:4" ht="12.75" hidden="1">
      <c r="A42" s="11" t="s">
        <v>29</v>
      </c>
      <c r="D42" s="12">
        <f>(1.33*4*D3)+(1.21*8*D3)</f>
        <v>60933</v>
      </c>
    </row>
    <row r="43" spans="1:4" ht="12.75" hidden="1">
      <c r="A43" s="11" t="s">
        <v>30</v>
      </c>
      <c r="D43" s="12">
        <f>(0.24*12*D3)</f>
        <v>11699.135999999999</v>
      </c>
    </row>
    <row r="44" spans="1:4" ht="12.75">
      <c r="A44" s="11" t="s">
        <v>31</v>
      </c>
      <c r="D44" s="12">
        <v>0</v>
      </c>
    </row>
    <row r="45" spans="1:4" ht="12.75">
      <c r="A45" s="11" t="s">
        <v>77</v>
      </c>
      <c r="D45" s="12">
        <f>1015.5*0.22*4+(1015.5*2.5)</f>
        <v>3432.39</v>
      </c>
    </row>
    <row r="46" spans="1:4" ht="12.75">
      <c r="A46" s="11" t="s">
        <v>80</v>
      </c>
      <c r="D46" s="12">
        <f>(2.66*4*D3)+(2.42*8*D3)</f>
        <v>121866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8774.352</v>
      </c>
    </row>
    <row r="49" spans="1:4" ht="12.75">
      <c r="A49" s="11" t="s">
        <v>33</v>
      </c>
      <c r="D49" s="12">
        <f>(1.45*4*D3)+(1.32*8*D3)</f>
        <v>66457.592</v>
      </c>
    </row>
    <row r="50" spans="1:4" ht="12.75">
      <c r="A50" s="11" t="s">
        <v>34</v>
      </c>
      <c r="D50" s="12">
        <f>(4.94*4*D3)+(4.51*8*D3)</f>
        <v>226833.24799999996</v>
      </c>
    </row>
    <row r="51" spans="1:4" ht="12.75">
      <c r="A51" s="11" t="s">
        <v>35</v>
      </c>
      <c r="D51" s="12">
        <f>(0.29*4*D3)+(0.26*8*D3)</f>
        <v>13161.527999999998</v>
      </c>
    </row>
    <row r="52" spans="1:4" ht="12.75">
      <c r="A52" s="11" t="s">
        <v>78</v>
      </c>
      <c r="D52" s="12">
        <f>(3.87*4*D3)+(3.52*8*D3)</f>
        <v>177274.408</v>
      </c>
    </row>
    <row r="53" spans="1:4" ht="12.75">
      <c r="A53" s="11" t="s">
        <v>36</v>
      </c>
      <c r="D53" s="12">
        <f>2.25*12*D4</f>
        <v>2943</v>
      </c>
    </row>
    <row r="54" spans="1:4" ht="12.75">
      <c r="A54" s="11" t="s">
        <v>37</v>
      </c>
      <c r="D54" s="12">
        <v>102788.8</v>
      </c>
    </row>
    <row r="55" spans="1:4" ht="12.75">
      <c r="A55" s="11" t="s">
        <v>38</v>
      </c>
      <c r="D55" s="12">
        <f>(0.7*4*D3)+(0.64*8*D3)</f>
        <v>32172.623999999996</v>
      </c>
    </row>
    <row r="56" spans="1:4" ht="12.75" hidden="1">
      <c r="A56" s="14" t="s">
        <v>62</v>
      </c>
      <c r="D56" s="12">
        <v>0</v>
      </c>
    </row>
    <row r="57" spans="1:4" ht="12.75">
      <c r="A57" s="11" t="s">
        <v>64</v>
      </c>
      <c r="D57" s="12">
        <f>(4.66*4*D3)+(4.24*8*D3)</f>
        <v>213509.232</v>
      </c>
    </row>
    <row r="58" spans="1:4" ht="12.75">
      <c r="A58" s="11"/>
      <c r="D58" s="12"/>
    </row>
    <row r="59" spans="1:4" ht="12.75">
      <c r="A59" s="11" t="s">
        <v>39</v>
      </c>
      <c r="D59" s="12">
        <f>D41+D44+D46+D47+D49+D50+D51+D52+D53+D54+D55+D56+D57-D56+D45+D48</f>
        <v>1041845.3099999999</v>
      </c>
    </row>
    <row r="60" spans="1:4" ht="12.75">
      <c r="A60" s="11"/>
      <c r="D60" s="12"/>
    </row>
    <row r="61" spans="1:4" ht="12.75">
      <c r="A61" t="s">
        <v>66</v>
      </c>
      <c r="D61" s="12">
        <f>C37-D59</f>
        <v>49111.170000000275</v>
      </c>
    </row>
    <row r="63" ht="12.75">
      <c r="A63" s="11"/>
    </row>
    <row r="64" ht="12.75">
      <c r="H64" s="22"/>
    </row>
    <row r="65" ht="12.75">
      <c r="H65" s="22"/>
    </row>
    <row r="68" ht="12.75">
      <c r="D68" s="17"/>
    </row>
    <row r="69" spans="1:4" ht="12.75">
      <c r="A69" s="16"/>
      <c r="D69" s="17"/>
    </row>
    <row r="70" spans="1:4" ht="12.75">
      <c r="A70" s="17"/>
      <c r="D70" s="17"/>
    </row>
    <row r="71" spans="1:4" ht="12.75">
      <c r="A71" s="17"/>
      <c r="D71" s="17"/>
    </row>
    <row r="72" spans="1:4" ht="12.75">
      <c r="A72" s="17"/>
      <c r="D72" s="17"/>
    </row>
    <row r="76" ht="12.75">
      <c r="A76" s="16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H114"/>
  <sheetViews>
    <sheetView zoomScalePageLayoutView="0" workbookViewId="0" topLeftCell="A1">
      <selection activeCell="A63" sqref="A63:C136"/>
    </sheetView>
  </sheetViews>
  <sheetFormatPr defaultColWidth="9.140625" defaultRowHeight="12.75"/>
  <cols>
    <col min="1" max="1" width="15.57421875" style="0" customWidth="1"/>
    <col min="2" max="2" width="18.57421875" style="0" customWidth="1"/>
    <col min="3" max="3" width="15.7109375" style="0" customWidth="1"/>
    <col min="4" max="4" width="13.57421875" style="0" customWidth="1"/>
  </cols>
  <sheetData>
    <row r="1" spans="1:7" ht="12.75">
      <c r="A1" s="1" t="s">
        <v>0</v>
      </c>
      <c r="B1" s="2" t="s">
        <v>1</v>
      </c>
      <c r="C1" s="1" t="s">
        <v>52</v>
      </c>
      <c r="D1" s="1"/>
      <c r="E1" s="1" t="s">
        <v>2</v>
      </c>
      <c r="F1" s="3">
        <v>43</v>
      </c>
      <c r="G1">
        <v>2016</v>
      </c>
    </row>
    <row r="3" spans="1:5" ht="12.75">
      <c r="A3" t="s">
        <v>3</v>
      </c>
      <c r="D3" s="4">
        <v>8159.55</v>
      </c>
      <c r="E3" s="5" t="s">
        <v>40</v>
      </c>
    </row>
    <row r="4" spans="1:5" ht="12.75">
      <c r="A4" t="s">
        <v>4</v>
      </c>
      <c r="D4" s="4">
        <v>147</v>
      </c>
      <c r="E4" s="5"/>
    </row>
    <row r="5" spans="1:5" ht="12.75">
      <c r="A5" t="s">
        <v>5</v>
      </c>
      <c r="D5" s="4">
        <v>422</v>
      </c>
      <c r="E5" s="5" t="s">
        <v>6</v>
      </c>
    </row>
    <row r="6" spans="1:5" ht="12.75">
      <c r="A6" t="s">
        <v>7</v>
      </c>
      <c r="D6" s="4">
        <v>1395.9</v>
      </c>
      <c r="E6" s="5" t="s">
        <v>40</v>
      </c>
    </row>
    <row r="7" spans="1:5" ht="12.75">
      <c r="A7" t="s">
        <v>8</v>
      </c>
      <c r="D7" s="4">
        <v>830</v>
      </c>
      <c r="E7" s="5" t="s">
        <v>40</v>
      </c>
    </row>
    <row r="8" ht="12.75" hidden="1"/>
    <row r="9" ht="12.75" hidden="1"/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2332761.12</v>
      </c>
      <c r="C11" s="8">
        <f>SUM(C12:C23)</f>
        <v>2406845.5</v>
      </c>
      <c r="D11" s="8">
        <f>SUM(D12:D23)</f>
        <v>-74084.38000000009</v>
      </c>
    </row>
    <row r="12" spans="1:4" ht="12.75">
      <c r="A12" s="9" t="s">
        <v>25</v>
      </c>
      <c r="B12" s="8">
        <v>188128.16</v>
      </c>
      <c r="C12" s="8">
        <v>183994.59</v>
      </c>
      <c r="D12" s="8">
        <f aca="true" t="shared" si="0" ref="D12:D23">B12-C12</f>
        <v>4133.570000000007</v>
      </c>
    </row>
    <row r="13" spans="1:4" ht="12.75">
      <c r="A13" s="9" t="s">
        <v>13</v>
      </c>
      <c r="B13" s="8">
        <v>188128.16</v>
      </c>
      <c r="C13" s="13">
        <v>209316.35</v>
      </c>
      <c r="D13" s="8">
        <f t="shared" si="0"/>
        <v>-21188.190000000002</v>
      </c>
    </row>
    <row r="14" spans="1:4" ht="12.75">
      <c r="A14" s="9" t="s">
        <v>14</v>
      </c>
      <c r="B14" s="13">
        <v>188144.3</v>
      </c>
      <c r="C14" s="13">
        <v>191624.98</v>
      </c>
      <c r="D14" s="8">
        <f t="shared" si="0"/>
        <v>-3480.680000000022</v>
      </c>
    </row>
    <row r="15" spans="1:4" ht="12.75">
      <c r="A15" s="9" t="s">
        <v>15</v>
      </c>
      <c r="B15" s="13">
        <v>188144.3</v>
      </c>
      <c r="C15" s="13">
        <v>173803.44</v>
      </c>
      <c r="D15" s="8">
        <f t="shared" si="0"/>
        <v>14340.859999999986</v>
      </c>
    </row>
    <row r="16" spans="1:4" ht="12.75">
      <c r="A16" s="9" t="s">
        <v>16</v>
      </c>
      <c r="B16" s="13">
        <v>188144.3</v>
      </c>
      <c r="C16" s="13">
        <v>220526.38</v>
      </c>
      <c r="D16" s="8">
        <f t="shared" si="0"/>
        <v>-32382.080000000016</v>
      </c>
    </row>
    <row r="17" spans="1:4" ht="12.75">
      <c r="A17" s="9" t="s">
        <v>17</v>
      </c>
      <c r="B17" s="13">
        <v>188144.3</v>
      </c>
      <c r="C17" s="13">
        <v>198296.93</v>
      </c>
      <c r="D17" s="8">
        <f t="shared" si="0"/>
        <v>-10152.630000000005</v>
      </c>
    </row>
    <row r="18" spans="1:4" ht="12.75">
      <c r="A18" s="9" t="s">
        <v>18</v>
      </c>
      <c r="B18" s="13">
        <v>188144.3</v>
      </c>
      <c r="C18" s="13">
        <v>174444.37</v>
      </c>
      <c r="D18" s="8">
        <f t="shared" si="0"/>
        <v>13699.929999999993</v>
      </c>
    </row>
    <row r="19" spans="1:4" ht="12.75">
      <c r="A19" s="9" t="s">
        <v>19</v>
      </c>
      <c r="B19" s="13">
        <v>188144.3</v>
      </c>
      <c r="C19" s="13">
        <v>192414.98</v>
      </c>
      <c r="D19" s="8">
        <f t="shared" si="0"/>
        <v>-4270.680000000022</v>
      </c>
    </row>
    <row r="20" spans="1:4" ht="12.75">
      <c r="A20" s="9" t="s">
        <v>20</v>
      </c>
      <c r="B20" s="13">
        <v>206909.75</v>
      </c>
      <c r="C20" s="13">
        <v>210302.85</v>
      </c>
      <c r="D20" s="8">
        <f t="shared" si="0"/>
        <v>-3393.100000000006</v>
      </c>
    </row>
    <row r="21" spans="1:4" ht="12.75">
      <c r="A21" s="9" t="s">
        <v>21</v>
      </c>
      <c r="B21" s="13">
        <v>206909.75</v>
      </c>
      <c r="C21" s="13">
        <v>223813.28</v>
      </c>
      <c r="D21" s="13">
        <f t="shared" si="0"/>
        <v>-16903.53</v>
      </c>
    </row>
    <row r="22" spans="1:4" ht="12.75">
      <c r="A22" s="9" t="s">
        <v>22</v>
      </c>
      <c r="B22" s="13">
        <v>206909.75</v>
      </c>
      <c r="C22" s="13">
        <v>215860.28</v>
      </c>
      <c r="D22" s="13">
        <f t="shared" si="0"/>
        <v>-8950.529999999999</v>
      </c>
    </row>
    <row r="23" spans="1:4" ht="12.75">
      <c r="A23" s="9" t="s">
        <v>23</v>
      </c>
      <c r="B23" s="13">
        <v>206909.75</v>
      </c>
      <c r="C23" s="13">
        <v>212447.07</v>
      </c>
      <c r="D23" s="13">
        <f t="shared" si="0"/>
        <v>-5537.320000000007</v>
      </c>
    </row>
    <row r="24" spans="1:4" ht="12.75">
      <c r="A24" s="7" t="s">
        <v>24</v>
      </c>
      <c r="B24" s="8">
        <f>SUM(B25:B36)</f>
        <v>636.72</v>
      </c>
      <c r="C24" s="8">
        <f>SUM(C25:C36)</f>
        <v>780.44</v>
      </c>
      <c r="D24" s="8">
        <f>SUM(D25:D36)</f>
        <v>-143.71999999999994</v>
      </c>
    </row>
    <row r="25" spans="1:4" ht="12.75">
      <c r="A25" s="9" t="s">
        <v>25</v>
      </c>
      <c r="B25" s="8">
        <v>53.06</v>
      </c>
      <c r="C25" s="8">
        <v>52.84</v>
      </c>
      <c r="D25" s="8">
        <f aca="true" t="shared" si="1" ref="D25:D36">B25-C25</f>
        <v>0.21999999999999886</v>
      </c>
    </row>
    <row r="26" spans="1:4" ht="12.75">
      <c r="A26" s="9" t="s">
        <v>13</v>
      </c>
      <c r="B26" s="8">
        <v>53.06</v>
      </c>
      <c r="C26" s="13">
        <v>52.14</v>
      </c>
      <c r="D26" s="8">
        <f t="shared" si="1"/>
        <v>0.9200000000000017</v>
      </c>
    </row>
    <row r="27" spans="1:4" ht="12.75">
      <c r="A27" s="9" t="s">
        <v>14</v>
      </c>
      <c r="B27" s="8">
        <v>53.06</v>
      </c>
      <c r="C27" s="13">
        <v>49.44</v>
      </c>
      <c r="D27" s="8">
        <f t="shared" si="1"/>
        <v>3.6200000000000045</v>
      </c>
    </row>
    <row r="28" spans="1:4" ht="12.75">
      <c r="A28" s="9" t="s">
        <v>15</v>
      </c>
      <c r="B28" s="8">
        <v>53.06</v>
      </c>
      <c r="C28" s="13">
        <v>50.06</v>
      </c>
      <c r="D28" s="8">
        <f t="shared" si="1"/>
        <v>3</v>
      </c>
    </row>
    <row r="29" spans="1:4" ht="12.75">
      <c r="A29" s="9" t="s">
        <v>16</v>
      </c>
      <c r="B29" s="8">
        <v>53.06</v>
      </c>
      <c r="C29" s="13">
        <v>119.16</v>
      </c>
      <c r="D29" s="8">
        <f t="shared" si="1"/>
        <v>-66.1</v>
      </c>
    </row>
    <row r="30" spans="1:4" ht="12.75">
      <c r="A30" s="9" t="s">
        <v>17</v>
      </c>
      <c r="B30" s="8">
        <v>53.06</v>
      </c>
      <c r="C30" s="13">
        <v>81.73</v>
      </c>
      <c r="D30" s="8">
        <f t="shared" si="1"/>
        <v>-28.67</v>
      </c>
    </row>
    <row r="31" spans="1:4" ht="12.75">
      <c r="A31" s="9" t="s">
        <v>18</v>
      </c>
      <c r="B31" s="8">
        <v>53.06</v>
      </c>
      <c r="C31" s="13">
        <v>50.73</v>
      </c>
      <c r="D31" s="8">
        <f t="shared" si="1"/>
        <v>2.3300000000000054</v>
      </c>
    </row>
    <row r="32" spans="1:4" ht="12.75">
      <c r="A32" s="9" t="s">
        <v>19</v>
      </c>
      <c r="B32" s="8">
        <v>53.06</v>
      </c>
      <c r="C32" s="13">
        <v>55.32</v>
      </c>
      <c r="D32" s="8">
        <f t="shared" si="1"/>
        <v>-2.259999999999998</v>
      </c>
    </row>
    <row r="33" spans="1:4" ht="12.75">
      <c r="A33" s="9" t="s">
        <v>20</v>
      </c>
      <c r="B33" s="8">
        <v>53.06</v>
      </c>
      <c r="C33" s="13">
        <v>65.57</v>
      </c>
      <c r="D33" s="8">
        <f t="shared" si="1"/>
        <v>-12.509999999999991</v>
      </c>
    </row>
    <row r="34" spans="1:4" ht="12.75">
      <c r="A34" s="9" t="s">
        <v>21</v>
      </c>
      <c r="B34" s="8">
        <v>53.06</v>
      </c>
      <c r="C34" s="13">
        <v>52.99</v>
      </c>
      <c r="D34" s="13">
        <f t="shared" si="1"/>
        <v>0.07000000000000028</v>
      </c>
    </row>
    <row r="35" spans="1:4" ht="12.75">
      <c r="A35" s="9" t="s">
        <v>22</v>
      </c>
      <c r="B35" s="8">
        <v>53.06</v>
      </c>
      <c r="C35" s="13">
        <v>97.73</v>
      </c>
      <c r="D35" s="13">
        <f t="shared" si="1"/>
        <v>-44.67</v>
      </c>
    </row>
    <row r="36" spans="1:4" ht="12.75">
      <c r="A36" s="9" t="s">
        <v>23</v>
      </c>
      <c r="B36" s="8">
        <v>53.06</v>
      </c>
      <c r="C36" s="13">
        <v>52.73</v>
      </c>
      <c r="D36" s="13">
        <f t="shared" si="1"/>
        <v>0.3300000000000054</v>
      </c>
    </row>
    <row r="37" spans="1:4" ht="12.75">
      <c r="A37" s="9" t="s">
        <v>26</v>
      </c>
      <c r="B37" s="8">
        <f>B11+B24</f>
        <v>2333397.8400000003</v>
      </c>
      <c r="C37" s="8">
        <f>C11+C24</f>
        <v>2407625.94</v>
      </c>
      <c r="D37" s="8">
        <f>D11+D24</f>
        <v>-74228.1000000001</v>
      </c>
    </row>
    <row r="39" spans="1:4" ht="12.75">
      <c r="A39" t="s">
        <v>27</v>
      </c>
      <c r="D39" s="12">
        <f>D37</f>
        <v>-74228.1000000001</v>
      </c>
    </row>
    <row r="41" spans="1:4" ht="12.75">
      <c r="A41" s="11" t="s">
        <v>28</v>
      </c>
      <c r="D41" s="12">
        <f>D42+D43</f>
        <v>145892.75400000002</v>
      </c>
    </row>
    <row r="42" spans="1:4" ht="12.75" hidden="1">
      <c r="A42" s="11" t="s">
        <v>29</v>
      </c>
      <c r="D42" s="12">
        <f>(1.33*4*D3)+(1.21*8*D3)</f>
        <v>122393.25</v>
      </c>
    </row>
    <row r="43" spans="1:4" ht="12.75" hidden="1">
      <c r="A43" s="11" t="s">
        <v>30</v>
      </c>
      <c r="D43" s="12">
        <f>(0.24*12*D3)</f>
        <v>23499.504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1062.6*0.22*4+(1062.6*2.5)</f>
        <v>3591.5879999999997</v>
      </c>
    </row>
    <row r="46" spans="1:4" ht="12.75">
      <c r="A46" s="11" t="s">
        <v>80</v>
      </c>
      <c r="D46" s="12">
        <f>(2.66*4*D3)+(2.42*8*D3)</f>
        <v>244786.5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17624.628</v>
      </c>
    </row>
    <row r="49" spans="1:4" ht="12.75">
      <c r="A49" s="11" t="s">
        <v>33</v>
      </c>
      <c r="D49" s="12">
        <f>(1.45*4*D3)+(1.32*8*D3)</f>
        <v>133490.238</v>
      </c>
    </row>
    <row r="50" spans="1:4" ht="12.75">
      <c r="A50" s="11" t="s">
        <v>34</v>
      </c>
      <c r="D50" s="12">
        <f>(4.94*4*D3)+(4.51*8*D3)</f>
        <v>455629.272</v>
      </c>
    </row>
    <row r="51" spans="1:4" ht="12.75">
      <c r="A51" s="11" t="s">
        <v>35</v>
      </c>
      <c r="D51" s="12">
        <f>(0.29*4*D3)+(0.26*8*D3)</f>
        <v>26436.942000000003</v>
      </c>
    </row>
    <row r="52" spans="1:4" ht="12.75">
      <c r="A52" s="11" t="s">
        <v>78</v>
      </c>
      <c r="D52" s="12">
        <f>(3.87*4*D3)+(3.52*8*D3)</f>
        <v>356082.762</v>
      </c>
    </row>
    <row r="53" spans="1:4" ht="12.75">
      <c r="A53" s="11" t="s">
        <v>36</v>
      </c>
      <c r="D53" s="12">
        <f>2.25*12*D4</f>
        <v>3969</v>
      </c>
    </row>
    <row r="54" spans="1:4" ht="12.75">
      <c r="A54" s="11" t="s">
        <v>37</v>
      </c>
      <c r="D54" s="12">
        <v>308240.5</v>
      </c>
    </row>
    <row r="55" spans="1:4" ht="12.75">
      <c r="A55" s="11" t="s">
        <v>38</v>
      </c>
      <c r="D55" s="12">
        <f>(0.7*4*D3)+(0.64*8*D3)</f>
        <v>64623.636</v>
      </c>
    </row>
    <row r="56" spans="1:4" ht="12.75" hidden="1">
      <c r="A56" s="14" t="s">
        <v>62</v>
      </c>
      <c r="D56" s="12">
        <v>0</v>
      </c>
    </row>
    <row r="57" spans="1:4" ht="12.75">
      <c r="A57" s="11" t="s">
        <v>64</v>
      </c>
      <c r="D57" s="12">
        <f>(4.66*4*D3)+(4.24*8*D3)</f>
        <v>428865.9480000001</v>
      </c>
    </row>
    <row r="58" spans="1:4" ht="12.75">
      <c r="A58" s="11"/>
      <c r="D58" s="12"/>
    </row>
    <row r="59" spans="1:4" ht="12.75">
      <c r="A59" s="11" t="s">
        <v>39</v>
      </c>
      <c r="D59" s="12">
        <f>D41+D44+D46+D47+D49+D50+D51+D52+D53+D54+D55+D56+D57-D56+D45+D48</f>
        <v>2189233.768</v>
      </c>
    </row>
    <row r="60" spans="1:4" ht="12.75">
      <c r="A60" s="11"/>
      <c r="D60" s="12"/>
    </row>
    <row r="61" spans="1:4" ht="12.75">
      <c r="A61" t="s">
        <v>66</v>
      </c>
      <c r="D61" s="12">
        <f>C37-D59</f>
        <v>218392.1719999998</v>
      </c>
    </row>
    <row r="63" spans="1:8" ht="12.75">
      <c r="A63" s="11"/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spans="2:8" ht="12.75">
      <c r="B68" s="19"/>
      <c r="H68" s="22"/>
    </row>
    <row r="69" ht="12.75">
      <c r="H69" s="22"/>
    </row>
    <row r="70" ht="12.75">
      <c r="H70" s="22"/>
    </row>
    <row r="71" ht="12.75">
      <c r="H71" s="22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100" ht="12.75">
      <c r="A100" s="16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G6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2.8515625" style="0" customWidth="1"/>
    <col min="2" max="2" width="15.421875" style="0" customWidth="1"/>
    <col min="3" max="3" width="16.421875" style="0" customWidth="1"/>
    <col min="4" max="4" width="15.00390625" style="0" customWidth="1"/>
    <col min="5" max="6" width="6.00390625" style="0" customWidth="1"/>
  </cols>
  <sheetData>
    <row r="1" spans="1:7" ht="12.75">
      <c r="A1" s="1" t="s">
        <v>0</v>
      </c>
      <c r="B1" s="2" t="s">
        <v>1</v>
      </c>
      <c r="C1" s="1" t="s">
        <v>53</v>
      </c>
      <c r="D1" s="1"/>
      <c r="E1" s="1" t="s">
        <v>2</v>
      </c>
      <c r="F1" s="3">
        <v>11</v>
      </c>
      <c r="G1">
        <v>2016</v>
      </c>
    </row>
    <row r="3" spans="1:5" ht="12.75">
      <c r="A3" t="s">
        <v>3</v>
      </c>
      <c r="D3" s="4">
        <v>1250.8</v>
      </c>
      <c r="E3" s="5" t="s">
        <v>40</v>
      </c>
    </row>
    <row r="4" spans="1:5" ht="12.75">
      <c r="A4" t="s">
        <v>4</v>
      </c>
      <c r="D4" s="4">
        <v>27</v>
      </c>
      <c r="E4" s="5"/>
    </row>
    <row r="5" spans="1:5" ht="12.75">
      <c r="A5" t="s">
        <v>5</v>
      </c>
      <c r="D5" s="4">
        <v>41</v>
      </c>
      <c r="E5" s="5" t="s">
        <v>6</v>
      </c>
    </row>
    <row r="6" spans="1:5" ht="12.75">
      <c r="A6" t="s">
        <v>7</v>
      </c>
      <c r="D6" s="4">
        <v>128.4</v>
      </c>
      <c r="E6" s="5" t="s">
        <v>40</v>
      </c>
    </row>
    <row r="7" spans="1:5" ht="12.75">
      <c r="A7" t="s">
        <v>8</v>
      </c>
      <c r="D7" s="4">
        <v>2469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311098.88000000006</v>
      </c>
      <c r="C11" s="8">
        <f>SUM(C12:C23)</f>
        <v>310246.16</v>
      </c>
      <c r="D11" s="8">
        <f>SUM(D12:D23)</f>
        <v>852.7200000000121</v>
      </c>
    </row>
    <row r="12" spans="1:4" ht="12.75">
      <c r="A12" s="9" t="s">
        <v>25</v>
      </c>
      <c r="B12" s="8">
        <v>25091.04</v>
      </c>
      <c r="C12" s="8">
        <v>23509.92</v>
      </c>
      <c r="D12" s="8">
        <f aca="true" t="shared" si="0" ref="D12:D23">B12-C12</f>
        <v>1581.1200000000026</v>
      </c>
    </row>
    <row r="13" spans="1:4" ht="12.75">
      <c r="A13" s="9" t="s">
        <v>13</v>
      </c>
      <c r="B13" s="8">
        <v>25091.04</v>
      </c>
      <c r="C13" s="13">
        <v>25185.19</v>
      </c>
      <c r="D13" s="8">
        <f t="shared" si="0"/>
        <v>-94.14999999999782</v>
      </c>
    </row>
    <row r="14" spans="1:4" ht="12.75">
      <c r="A14" s="9" t="s">
        <v>14</v>
      </c>
      <c r="B14" s="8">
        <v>25091.04</v>
      </c>
      <c r="C14" s="13">
        <v>24322.89</v>
      </c>
      <c r="D14" s="8">
        <f t="shared" si="0"/>
        <v>768.1500000000015</v>
      </c>
    </row>
    <row r="15" spans="1:4" ht="12.75">
      <c r="A15" s="9" t="s">
        <v>15</v>
      </c>
      <c r="B15" s="8">
        <v>25091.04</v>
      </c>
      <c r="C15" s="13">
        <v>25779.14</v>
      </c>
      <c r="D15" s="8">
        <f t="shared" si="0"/>
        <v>-688.0999999999985</v>
      </c>
    </row>
    <row r="16" spans="1:4" ht="12.75">
      <c r="A16" s="9" t="s">
        <v>16</v>
      </c>
      <c r="B16" s="8">
        <v>25091.04</v>
      </c>
      <c r="C16" s="13">
        <v>25155.1</v>
      </c>
      <c r="D16" s="8">
        <f t="shared" si="0"/>
        <v>-64.05999999999767</v>
      </c>
    </row>
    <row r="17" spans="1:4" ht="12.75">
      <c r="A17" s="9" t="s">
        <v>17</v>
      </c>
      <c r="B17" s="8">
        <v>25091.04</v>
      </c>
      <c r="C17" s="13">
        <v>24434.59</v>
      </c>
      <c r="D17" s="8">
        <f t="shared" si="0"/>
        <v>656.4500000000007</v>
      </c>
    </row>
    <row r="18" spans="1:4" ht="12.75">
      <c r="A18" s="9" t="s">
        <v>18</v>
      </c>
      <c r="B18" s="8">
        <v>25091.04</v>
      </c>
      <c r="C18" s="13">
        <v>24492.61</v>
      </c>
      <c r="D18" s="8">
        <f t="shared" si="0"/>
        <v>598.4300000000003</v>
      </c>
    </row>
    <row r="19" spans="1:4" ht="12.75">
      <c r="A19" s="9" t="s">
        <v>19</v>
      </c>
      <c r="B19" s="8">
        <v>25091.04</v>
      </c>
      <c r="C19" s="13">
        <v>26128.03</v>
      </c>
      <c r="D19" s="8">
        <f t="shared" si="0"/>
        <v>-1036.989999999998</v>
      </c>
    </row>
    <row r="20" spans="1:4" ht="12.75">
      <c r="A20" s="9" t="s">
        <v>20</v>
      </c>
      <c r="B20" s="13">
        <v>27592.64</v>
      </c>
      <c r="C20" s="13">
        <v>28429.67</v>
      </c>
      <c r="D20" s="8">
        <f t="shared" si="0"/>
        <v>-837.0299999999988</v>
      </c>
    </row>
    <row r="21" spans="1:4" ht="12.75">
      <c r="A21" s="9" t="s">
        <v>21</v>
      </c>
      <c r="B21" s="13">
        <v>27592.64</v>
      </c>
      <c r="C21" s="13">
        <v>27489.8</v>
      </c>
      <c r="D21" s="13">
        <f t="shared" si="0"/>
        <v>102.84000000000015</v>
      </c>
    </row>
    <row r="22" spans="1:4" ht="12.75">
      <c r="A22" s="9" t="s">
        <v>22</v>
      </c>
      <c r="B22" s="13">
        <v>27592.64</v>
      </c>
      <c r="C22" s="13">
        <v>27742.61</v>
      </c>
      <c r="D22" s="13">
        <f t="shared" si="0"/>
        <v>-149.97000000000116</v>
      </c>
    </row>
    <row r="23" spans="1:4" ht="12.75">
      <c r="A23" s="9" t="s">
        <v>23</v>
      </c>
      <c r="B23" s="13">
        <v>27592.64</v>
      </c>
      <c r="C23" s="13">
        <v>27576.61</v>
      </c>
      <c r="D23" s="13">
        <f t="shared" si="0"/>
        <v>16.029999999998836</v>
      </c>
    </row>
    <row r="24" spans="1:4" ht="12.75">
      <c r="A24" s="7" t="s">
        <v>24</v>
      </c>
      <c r="B24" s="8">
        <f>SUM(B25:B36)</f>
        <v>116.64</v>
      </c>
      <c r="C24" s="8">
        <f>SUM(C25:C36)</f>
        <v>116.64</v>
      </c>
      <c r="D24" s="8">
        <f>SUM(D25:D36)</f>
        <v>0</v>
      </c>
    </row>
    <row r="25" spans="1:4" ht="12.75">
      <c r="A25" s="9" t="s">
        <v>25</v>
      </c>
      <c r="B25" s="8">
        <v>9.72</v>
      </c>
      <c r="C25" s="8">
        <v>9.72</v>
      </c>
      <c r="D25" s="8">
        <f aca="true" t="shared" si="1" ref="D25:D36">B25-C25</f>
        <v>0</v>
      </c>
    </row>
    <row r="26" spans="1:4" ht="12.75">
      <c r="A26" s="9" t="s">
        <v>13</v>
      </c>
      <c r="B26" s="8">
        <v>9.72</v>
      </c>
      <c r="C26" s="8">
        <v>9.72</v>
      </c>
      <c r="D26" s="8">
        <f t="shared" si="1"/>
        <v>0</v>
      </c>
    </row>
    <row r="27" spans="1:4" ht="12.75">
      <c r="A27" s="9" t="s">
        <v>14</v>
      </c>
      <c r="B27" s="8">
        <v>9.72</v>
      </c>
      <c r="C27" s="8">
        <v>9.72</v>
      </c>
      <c r="D27" s="8">
        <f t="shared" si="1"/>
        <v>0</v>
      </c>
    </row>
    <row r="28" spans="1:4" ht="12.75">
      <c r="A28" s="9" t="s">
        <v>15</v>
      </c>
      <c r="B28" s="8">
        <v>9.72</v>
      </c>
      <c r="C28" s="8">
        <v>9.72</v>
      </c>
      <c r="D28" s="8">
        <f t="shared" si="1"/>
        <v>0</v>
      </c>
    </row>
    <row r="29" spans="1:4" ht="12.75">
      <c r="A29" s="9" t="s">
        <v>16</v>
      </c>
      <c r="B29" s="8">
        <v>9.72</v>
      </c>
      <c r="C29" s="8">
        <v>9.72</v>
      </c>
      <c r="D29" s="8">
        <f t="shared" si="1"/>
        <v>0</v>
      </c>
    </row>
    <row r="30" spans="1:4" ht="12.75">
      <c r="A30" s="9" t="s">
        <v>17</v>
      </c>
      <c r="B30" s="8">
        <v>9.72</v>
      </c>
      <c r="C30" s="8">
        <v>9.72</v>
      </c>
      <c r="D30" s="8">
        <f t="shared" si="1"/>
        <v>0</v>
      </c>
    </row>
    <row r="31" spans="1:4" ht="12.75">
      <c r="A31" s="9" t="s">
        <v>18</v>
      </c>
      <c r="B31" s="8">
        <v>9.72</v>
      </c>
      <c r="C31" s="8">
        <v>9.72</v>
      </c>
      <c r="D31" s="8">
        <f t="shared" si="1"/>
        <v>0</v>
      </c>
    </row>
    <row r="32" spans="1:4" ht="12.75">
      <c r="A32" s="9" t="s">
        <v>19</v>
      </c>
      <c r="B32" s="8">
        <v>9.72</v>
      </c>
      <c r="C32" s="8">
        <v>9.72</v>
      </c>
      <c r="D32" s="8">
        <f t="shared" si="1"/>
        <v>0</v>
      </c>
    </row>
    <row r="33" spans="1:4" ht="12.75">
      <c r="A33" s="9" t="s">
        <v>20</v>
      </c>
      <c r="B33" s="8">
        <v>9.72</v>
      </c>
      <c r="C33" s="8">
        <v>9.72</v>
      </c>
      <c r="D33" s="8">
        <f t="shared" si="1"/>
        <v>0</v>
      </c>
    </row>
    <row r="34" spans="1:4" ht="12.75">
      <c r="A34" s="9" t="s">
        <v>21</v>
      </c>
      <c r="B34" s="8">
        <v>9.72</v>
      </c>
      <c r="C34" s="8">
        <v>9.72</v>
      </c>
      <c r="D34" s="13">
        <f t="shared" si="1"/>
        <v>0</v>
      </c>
    </row>
    <row r="35" spans="1:4" ht="12.75">
      <c r="A35" s="9" t="s">
        <v>22</v>
      </c>
      <c r="B35" s="8">
        <v>9.72</v>
      </c>
      <c r="C35" s="8">
        <v>9.72</v>
      </c>
      <c r="D35" s="13">
        <f t="shared" si="1"/>
        <v>0</v>
      </c>
    </row>
    <row r="36" spans="1:4" ht="12.75">
      <c r="A36" s="9" t="s">
        <v>23</v>
      </c>
      <c r="B36" s="8">
        <v>9.72</v>
      </c>
      <c r="C36" s="8">
        <v>9.72</v>
      </c>
      <c r="D36" s="13">
        <f t="shared" si="1"/>
        <v>0</v>
      </c>
    </row>
    <row r="37" spans="1:4" ht="12.75">
      <c r="A37" s="9" t="s">
        <v>26</v>
      </c>
      <c r="B37" s="8">
        <f>B11+B24</f>
        <v>311215.5200000001</v>
      </c>
      <c r="C37" s="8">
        <f>C11+C24</f>
        <v>310362.8</v>
      </c>
      <c r="D37" s="8">
        <f>D11+D24</f>
        <v>852.7200000000121</v>
      </c>
    </row>
    <row r="39" spans="1:4" ht="12.75">
      <c r="A39" t="s">
        <v>27</v>
      </c>
      <c r="D39" s="12">
        <f>D37</f>
        <v>852.7200000000121</v>
      </c>
    </row>
    <row r="41" spans="1:4" ht="12.75">
      <c r="A41" s="11" t="s">
        <v>28</v>
      </c>
      <c r="D41" s="12">
        <f>D42+D43</f>
        <v>22364.304</v>
      </c>
    </row>
    <row r="42" spans="1:4" ht="12.75" hidden="1">
      <c r="A42" s="11" t="s">
        <v>29</v>
      </c>
      <c r="D42" s="12">
        <f>(1.33*4*D3)+(1.21*8*D3)</f>
        <v>18762</v>
      </c>
    </row>
    <row r="43" spans="1:4" ht="12.75" hidden="1">
      <c r="A43" s="11" t="s">
        <v>30</v>
      </c>
      <c r="D43" s="12">
        <f>(0.24*12*D3)</f>
        <v>3602.3039999999996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841.1*0.22*4+(841.1*2.5)</f>
        <v>2842.918</v>
      </c>
    </row>
    <row r="46" spans="1:4" ht="12.75">
      <c r="A46" s="11" t="s">
        <v>80</v>
      </c>
      <c r="D46" s="12">
        <f>(2.66*4*D3)+(2.42*8*D3)</f>
        <v>37524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2701.728</v>
      </c>
    </row>
    <row r="49" spans="1:4" ht="12.75">
      <c r="A49" s="11" t="s">
        <v>33</v>
      </c>
      <c r="D49" s="12">
        <f>(1.45*4*D3)+(1.32*8*D3)</f>
        <v>20463.088</v>
      </c>
    </row>
    <row r="50" spans="1:4" ht="12.75">
      <c r="A50" s="11" t="s">
        <v>34</v>
      </c>
      <c r="D50" s="12">
        <f>(4.94*4*D3)+(4.51*8*D3)</f>
        <v>69844.67199999999</v>
      </c>
    </row>
    <row r="51" spans="1:4" ht="12.75">
      <c r="A51" s="11" t="s">
        <v>35</v>
      </c>
      <c r="D51" s="12">
        <f>(0.29*4*D3)+(0.26*8*D3)</f>
        <v>4052.592</v>
      </c>
    </row>
    <row r="52" spans="1:4" ht="12.75">
      <c r="A52" s="11" t="s">
        <v>78</v>
      </c>
      <c r="D52" s="12">
        <f>(3.87*4*D3)+(3.52*8*D3)</f>
        <v>54584.912</v>
      </c>
    </row>
    <row r="53" spans="1:4" ht="12.75">
      <c r="A53" s="11" t="s">
        <v>36</v>
      </c>
      <c r="D53" s="12">
        <f>2.25*12*D4</f>
        <v>729</v>
      </c>
    </row>
    <row r="54" spans="1:4" ht="12.75">
      <c r="A54" s="11" t="s">
        <v>37</v>
      </c>
      <c r="D54" s="12">
        <v>10167</v>
      </c>
    </row>
    <row r="55" spans="1:4" ht="12.75">
      <c r="A55" s="11" t="s">
        <v>38</v>
      </c>
      <c r="D55" s="12">
        <f>(0.91*4*D3)+(0.83*8*D3)</f>
        <v>12858.224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</f>
        <v>238132.43799999997</v>
      </c>
    </row>
    <row r="59" spans="1:4" ht="12.75">
      <c r="A59" s="11"/>
      <c r="D59" s="12"/>
    </row>
    <row r="60" spans="1:4" ht="12.75">
      <c r="A60" t="s">
        <v>66</v>
      </c>
      <c r="D60" s="12">
        <f>C37-D58</f>
        <v>72230.36200000002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G60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14.140625" style="0" customWidth="1"/>
    <col min="2" max="2" width="14.8515625" style="0" customWidth="1"/>
    <col min="3" max="3" width="13.8515625" style="0" customWidth="1"/>
    <col min="4" max="4" width="13.140625" style="0" customWidth="1"/>
    <col min="5" max="5" width="4.28125" style="0" customWidth="1"/>
    <col min="6" max="6" width="3.57421875" style="0" customWidth="1"/>
  </cols>
  <sheetData>
    <row r="1" spans="1:7" ht="12.75">
      <c r="A1" s="1" t="s">
        <v>0</v>
      </c>
      <c r="B1" s="2" t="s">
        <v>1</v>
      </c>
      <c r="C1" s="1" t="s">
        <v>53</v>
      </c>
      <c r="D1" s="1"/>
      <c r="E1" s="1" t="s">
        <v>2</v>
      </c>
      <c r="F1" s="3">
        <v>13</v>
      </c>
      <c r="G1">
        <v>2016</v>
      </c>
    </row>
    <row r="3" spans="1:5" ht="12.75">
      <c r="A3" t="s">
        <v>3</v>
      </c>
      <c r="D3" s="4">
        <v>1270.2</v>
      </c>
      <c r="E3" s="5" t="s">
        <v>40</v>
      </c>
    </row>
    <row r="4" spans="1:5" ht="12.75">
      <c r="A4" t="s">
        <v>4</v>
      </c>
      <c r="D4" s="4">
        <v>27</v>
      </c>
      <c r="E4" s="5"/>
    </row>
    <row r="5" spans="1:5" ht="12.75">
      <c r="A5" t="s">
        <v>5</v>
      </c>
      <c r="D5" s="4">
        <v>72</v>
      </c>
      <c r="E5" s="5" t="s">
        <v>6</v>
      </c>
    </row>
    <row r="6" spans="1:5" ht="12.75">
      <c r="A6" t="s">
        <v>7</v>
      </c>
      <c r="D6" s="4">
        <v>129.4</v>
      </c>
      <c r="E6" s="5" t="s">
        <v>40</v>
      </c>
    </row>
    <row r="7" spans="1:5" ht="12.75">
      <c r="A7" t="s">
        <v>8</v>
      </c>
      <c r="D7" s="4">
        <v>3199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316070.54000000004</v>
      </c>
      <c r="C11" s="8">
        <f>SUM(C12:C23)</f>
        <v>304916.47</v>
      </c>
      <c r="D11" s="8">
        <f>SUM(D12:D23)</f>
        <v>11154.070000000003</v>
      </c>
    </row>
    <row r="12" spans="1:4" ht="12.75">
      <c r="A12" s="9" t="s">
        <v>25</v>
      </c>
      <c r="B12" s="8">
        <f>25492.24-2.74</f>
        <v>25489.5</v>
      </c>
      <c r="C12" s="8">
        <v>25348.32</v>
      </c>
      <c r="D12" s="8">
        <f aca="true" t="shared" si="0" ref="D12:D23">B12-C12</f>
        <v>141.1800000000003</v>
      </c>
    </row>
    <row r="13" spans="1:4" ht="12.75">
      <c r="A13" s="9" t="s">
        <v>13</v>
      </c>
      <c r="B13" s="8">
        <v>25492.24</v>
      </c>
      <c r="C13" s="13">
        <v>22974.88</v>
      </c>
      <c r="D13" s="8">
        <f t="shared" si="0"/>
        <v>2517.3600000000006</v>
      </c>
    </row>
    <row r="14" spans="1:4" ht="12.75">
      <c r="A14" s="9" t="s">
        <v>14</v>
      </c>
      <c r="B14" s="8">
        <v>25492.24</v>
      </c>
      <c r="C14" s="13">
        <v>25182.15</v>
      </c>
      <c r="D14" s="8">
        <f t="shared" si="0"/>
        <v>310.09000000000015</v>
      </c>
    </row>
    <row r="15" spans="1:4" ht="12.75">
      <c r="A15" s="9" t="s">
        <v>15</v>
      </c>
      <c r="B15" s="8">
        <v>25492.24</v>
      </c>
      <c r="C15" s="13">
        <v>22181.83</v>
      </c>
      <c r="D15" s="8">
        <f t="shared" si="0"/>
        <v>3310.41</v>
      </c>
    </row>
    <row r="16" spans="1:4" ht="12.75">
      <c r="A16" s="9" t="s">
        <v>16</v>
      </c>
      <c r="B16" s="8">
        <v>25492.24</v>
      </c>
      <c r="C16" s="13">
        <v>23204.95</v>
      </c>
      <c r="D16" s="8">
        <f t="shared" si="0"/>
        <v>2287.290000000001</v>
      </c>
    </row>
    <row r="17" spans="1:4" ht="12.75">
      <c r="A17" s="9" t="s">
        <v>17</v>
      </c>
      <c r="B17" s="8">
        <v>25492.24</v>
      </c>
      <c r="C17" s="13">
        <v>27912.88</v>
      </c>
      <c r="D17" s="8">
        <f t="shared" si="0"/>
        <v>-2420.6399999999994</v>
      </c>
    </row>
    <row r="18" spans="1:4" ht="12.75">
      <c r="A18" s="9" t="s">
        <v>18</v>
      </c>
      <c r="B18" s="8">
        <v>25492.24</v>
      </c>
      <c r="C18" s="13">
        <v>33107.65</v>
      </c>
      <c r="D18" s="8">
        <f t="shared" si="0"/>
        <v>-7615.41</v>
      </c>
    </row>
    <row r="19" spans="1:4" ht="12.75">
      <c r="A19" s="9" t="s">
        <v>19</v>
      </c>
      <c r="B19" s="8">
        <v>25492.24</v>
      </c>
      <c r="C19" s="13">
        <v>24186.08</v>
      </c>
      <c r="D19" s="8">
        <f t="shared" si="0"/>
        <v>1306.1599999999999</v>
      </c>
    </row>
    <row r="20" spans="1:4" ht="12.75">
      <c r="A20" s="9" t="s">
        <v>20</v>
      </c>
      <c r="B20" s="13">
        <v>28033.84</v>
      </c>
      <c r="C20" s="13">
        <v>27979.3</v>
      </c>
      <c r="D20" s="8">
        <f t="shared" si="0"/>
        <v>54.54000000000087</v>
      </c>
    </row>
    <row r="21" spans="1:4" ht="12.75">
      <c r="A21" s="9" t="s">
        <v>21</v>
      </c>
      <c r="B21" s="13">
        <v>28033.84</v>
      </c>
      <c r="C21" s="13">
        <v>26870.91</v>
      </c>
      <c r="D21" s="13">
        <f t="shared" si="0"/>
        <v>1162.9300000000003</v>
      </c>
    </row>
    <row r="22" spans="1:4" ht="12.75">
      <c r="A22" s="9" t="s">
        <v>22</v>
      </c>
      <c r="B22" s="13">
        <v>28033.84</v>
      </c>
      <c r="C22" s="13">
        <v>24850.47</v>
      </c>
      <c r="D22" s="13">
        <f t="shared" si="0"/>
        <v>3183.369999999999</v>
      </c>
    </row>
    <row r="23" spans="1:4" ht="12.75">
      <c r="A23" s="9" t="s">
        <v>23</v>
      </c>
      <c r="B23" s="13">
        <v>28033.84</v>
      </c>
      <c r="C23" s="13">
        <v>21117.05</v>
      </c>
      <c r="D23" s="13">
        <f t="shared" si="0"/>
        <v>6916.790000000001</v>
      </c>
    </row>
    <row r="24" spans="1:4" ht="12.75">
      <c r="A24" s="7" t="s">
        <v>24</v>
      </c>
      <c r="B24" s="8">
        <f>SUM(B25:B36)</f>
        <v>52.56000000000001</v>
      </c>
      <c r="C24" s="8">
        <f>SUM(C25:C36)</f>
        <v>52.56000000000001</v>
      </c>
      <c r="D24" s="8">
        <f>SUM(D25:D36)</f>
        <v>0</v>
      </c>
    </row>
    <row r="25" spans="1:4" ht="12.75">
      <c r="A25" s="9" t="s">
        <v>25</v>
      </c>
      <c r="B25" s="8">
        <v>4.38</v>
      </c>
      <c r="C25" s="8">
        <v>4.38</v>
      </c>
      <c r="D25" s="8">
        <f aca="true" t="shared" si="1" ref="D25:D36">B25-C25</f>
        <v>0</v>
      </c>
    </row>
    <row r="26" spans="1:4" ht="12.75">
      <c r="A26" s="9" t="s">
        <v>13</v>
      </c>
      <c r="B26" s="8">
        <v>4.38</v>
      </c>
      <c r="C26" s="8">
        <v>4.38</v>
      </c>
      <c r="D26" s="8">
        <f t="shared" si="1"/>
        <v>0</v>
      </c>
    </row>
    <row r="27" spans="1:4" ht="12.75">
      <c r="A27" s="9" t="s">
        <v>14</v>
      </c>
      <c r="B27" s="8">
        <v>4.38</v>
      </c>
      <c r="C27" s="8">
        <v>4.38</v>
      </c>
      <c r="D27" s="8">
        <f t="shared" si="1"/>
        <v>0</v>
      </c>
    </row>
    <row r="28" spans="1:4" ht="12.75">
      <c r="A28" s="9" t="s">
        <v>15</v>
      </c>
      <c r="B28" s="8">
        <v>4.38</v>
      </c>
      <c r="C28" s="8">
        <v>4.38</v>
      </c>
      <c r="D28" s="8">
        <f t="shared" si="1"/>
        <v>0</v>
      </c>
    </row>
    <row r="29" spans="1:4" ht="12.75">
      <c r="A29" s="9" t="s">
        <v>16</v>
      </c>
      <c r="B29" s="8">
        <v>4.38</v>
      </c>
      <c r="C29" s="8">
        <v>4.38</v>
      </c>
      <c r="D29" s="8">
        <f t="shared" si="1"/>
        <v>0</v>
      </c>
    </row>
    <row r="30" spans="1:4" ht="12.75">
      <c r="A30" s="9" t="s">
        <v>17</v>
      </c>
      <c r="B30" s="8">
        <v>4.38</v>
      </c>
      <c r="C30" s="8">
        <v>4.38</v>
      </c>
      <c r="D30" s="8">
        <f t="shared" si="1"/>
        <v>0</v>
      </c>
    </row>
    <row r="31" spans="1:4" ht="12.75">
      <c r="A31" s="9" t="s">
        <v>18</v>
      </c>
      <c r="B31" s="8">
        <v>4.38</v>
      </c>
      <c r="C31" s="8">
        <v>4.38</v>
      </c>
      <c r="D31" s="8">
        <f t="shared" si="1"/>
        <v>0</v>
      </c>
    </row>
    <row r="32" spans="1:4" ht="12.75">
      <c r="A32" s="9" t="s">
        <v>19</v>
      </c>
      <c r="B32" s="8">
        <v>4.38</v>
      </c>
      <c r="C32" s="8">
        <v>4.38</v>
      </c>
      <c r="D32" s="8">
        <f t="shared" si="1"/>
        <v>0</v>
      </c>
    </row>
    <row r="33" spans="1:4" ht="12.75">
      <c r="A33" s="9" t="s">
        <v>20</v>
      </c>
      <c r="B33" s="8">
        <v>4.38</v>
      </c>
      <c r="C33" s="8">
        <v>4.38</v>
      </c>
      <c r="D33" s="8">
        <f t="shared" si="1"/>
        <v>0</v>
      </c>
    </row>
    <row r="34" spans="1:4" ht="12.75">
      <c r="A34" s="9" t="s">
        <v>21</v>
      </c>
      <c r="B34" s="8">
        <v>4.38</v>
      </c>
      <c r="C34" s="8">
        <v>4.38</v>
      </c>
      <c r="D34" s="13">
        <f t="shared" si="1"/>
        <v>0</v>
      </c>
    </row>
    <row r="35" spans="1:4" ht="12.75">
      <c r="A35" s="9" t="s">
        <v>22</v>
      </c>
      <c r="B35" s="8">
        <v>4.38</v>
      </c>
      <c r="C35" s="8">
        <v>4.38</v>
      </c>
      <c r="D35" s="13">
        <f t="shared" si="1"/>
        <v>0</v>
      </c>
    </row>
    <row r="36" spans="1:4" ht="12.75">
      <c r="A36" s="9" t="s">
        <v>23</v>
      </c>
      <c r="B36" s="8">
        <v>4.38</v>
      </c>
      <c r="C36" s="8">
        <v>4.38</v>
      </c>
      <c r="D36" s="13">
        <f t="shared" si="1"/>
        <v>0</v>
      </c>
    </row>
    <row r="37" spans="1:4" ht="12.75">
      <c r="A37" s="9" t="s">
        <v>26</v>
      </c>
      <c r="B37" s="8">
        <f>B11+B24</f>
        <v>316123.10000000003</v>
      </c>
      <c r="C37" s="8">
        <f>C11+C24</f>
        <v>304969.02999999997</v>
      </c>
      <c r="D37" s="8">
        <f>D11+D24</f>
        <v>11154.070000000003</v>
      </c>
    </row>
    <row r="39" spans="1:4" ht="12.75">
      <c r="A39" t="s">
        <v>27</v>
      </c>
      <c r="D39" s="12">
        <f>D37</f>
        <v>11154.070000000003</v>
      </c>
    </row>
    <row r="41" spans="1:4" ht="12.75">
      <c r="A41" s="11" t="s">
        <v>28</v>
      </c>
      <c r="D41" s="12">
        <f>D42+D43</f>
        <v>22711.176</v>
      </c>
    </row>
    <row r="42" spans="1:4" ht="12.75" hidden="1">
      <c r="A42" s="11" t="s">
        <v>29</v>
      </c>
      <c r="D42" s="12">
        <f>(1.33*4*D3)+(1.21*8*D3)</f>
        <v>19053</v>
      </c>
    </row>
    <row r="43" spans="1:4" ht="12.75" hidden="1">
      <c r="A43" s="11" t="s">
        <v>30</v>
      </c>
      <c r="D43" s="12">
        <f>(0.24*12*D3)</f>
        <v>3658.176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870.4*0.22*4+(870.4*2.5)</f>
        <v>2941.952</v>
      </c>
    </row>
    <row r="46" spans="1:4" ht="12.75">
      <c r="A46" s="11" t="s">
        <v>80</v>
      </c>
      <c r="D46" s="12">
        <f>(2.66*4*D3)+(2.42*8*D3)</f>
        <v>38106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2743.632</v>
      </c>
    </row>
    <row r="49" spans="1:4" ht="12.75">
      <c r="A49" s="11" t="s">
        <v>33</v>
      </c>
      <c r="D49" s="12">
        <f>(1.45*4*D3)+(1.32*8*D3)</f>
        <v>20780.472</v>
      </c>
    </row>
    <row r="50" spans="1:4" ht="12.75">
      <c r="A50" s="11" t="s">
        <v>34</v>
      </c>
      <c r="D50" s="12">
        <f>(4.94*4*D3)+(4.51*8*D3)</f>
        <v>70927.968</v>
      </c>
    </row>
    <row r="51" spans="1:4" ht="12.75">
      <c r="A51" s="11" t="s">
        <v>35</v>
      </c>
      <c r="D51" s="12">
        <f>(0.29*4*D3)+(0.26*8*D3)</f>
        <v>4115.448</v>
      </c>
    </row>
    <row r="52" spans="1:4" ht="12.75">
      <c r="A52" s="11" t="s">
        <v>78</v>
      </c>
      <c r="D52" s="12">
        <f>(3.87*4*D3)+(3.52*8*D3)</f>
        <v>55431.528000000006</v>
      </c>
    </row>
    <row r="53" spans="1:4" ht="12.75">
      <c r="A53" s="11" t="s">
        <v>36</v>
      </c>
      <c r="D53" s="12">
        <f>2.25*12*D4</f>
        <v>729</v>
      </c>
    </row>
    <row r="54" spans="1:4" ht="12.75">
      <c r="A54" s="11" t="s">
        <v>37</v>
      </c>
      <c r="D54" s="12">
        <v>7111</v>
      </c>
    </row>
    <row r="55" spans="1:4" ht="12.75">
      <c r="A55" s="11" t="s">
        <v>38</v>
      </c>
      <c r="D55" s="12">
        <f>(0.91*4*D3)+(0.83*8*D3)</f>
        <v>13057.656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</f>
        <v>238655.83199999997</v>
      </c>
    </row>
    <row r="59" spans="1:4" ht="12.75">
      <c r="A59" s="11"/>
      <c r="D59" s="12"/>
    </row>
    <row r="60" spans="1:4" ht="12.75">
      <c r="A60" t="s">
        <v>66</v>
      </c>
      <c r="D60" s="12">
        <f>C37-D58</f>
        <v>66313.198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H7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3.140625" style="0" customWidth="1"/>
    <col min="2" max="2" width="15.28125" style="0" customWidth="1"/>
    <col min="3" max="4" width="14.00390625" style="0" customWidth="1"/>
    <col min="5" max="5" width="4.7109375" style="0" customWidth="1"/>
    <col min="6" max="6" width="4.28125" style="0" customWidth="1"/>
  </cols>
  <sheetData>
    <row r="1" spans="1:7" ht="12.75">
      <c r="A1" s="1" t="s">
        <v>0</v>
      </c>
      <c r="B1" s="2" t="s">
        <v>1</v>
      </c>
      <c r="C1" s="1" t="s">
        <v>53</v>
      </c>
      <c r="D1" s="1"/>
      <c r="E1" s="1" t="s">
        <v>2</v>
      </c>
      <c r="F1" s="3">
        <v>17</v>
      </c>
      <c r="G1">
        <v>2016</v>
      </c>
    </row>
    <row r="3" spans="1:5" ht="12.75">
      <c r="A3" t="s">
        <v>3</v>
      </c>
      <c r="D3" s="4">
        <v>3163.1</v>
      </c>
      <c r="E3" s="5" t="s">
        <v>40</v>
      </c>
    </row>
    <row r="4" spans="1:5" ht="12.75">
      <c r="A4" t="s">
        <v>4</v>
      </c>
      <c r="D4" s="4">
        <v>62</v>
      </c>
      <c r="E4" s="5"/>
    </row>
    <row r="5" spans="1:5" ht="12.75">
      <c r="A5" t="s">
        <v>5</v>
      </c>
      <c r="D5" s="4">
        <v>125</v>
      </c>
      <c r="E5" s="5" t="s">
        <v>6</v>
      </c>
    </row>
    <row r="6" spans="1:5" ht="12.75">
      <c r="A6" t="s">
        <v>7</v>
      </c>
      <c r="D6" s="4">
        <v>373.7</v>
      </c>
      <c r="E6" s="5" t="s">
        <v>40</v>
      </c>
    </row>
    <row r="7" spans="1:5" ht="12.75">
      <c r="A7" t="s">
        <v>8</v>
      </c>
      <c r="D7" s="4">
        <v>4248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786726.2799999999</v>
      </c>
      <c r="C11" s="8">
        <f>SUM(C12:C23)</f>
        <v>771706.2700000001</v>
      </c>
      <c r="D11" s="8">
        <f>SUM(D12:D23)</f>
        <v>15020.010000000038</v>
      </c>
    </row>
    <row r="12" spans="1:4" ht="12.75" customHeight="1">
      <c r="A12" s="9" t="s">
        <v>25</v>
      </c>
      <c r="B12" s="8">
        <v>63451.79</v>
      </c>
      <c r="C12" s="8">
        <v>61796.32</v>
      </c>
      <c r="D12" s="8">
        <f aca="true" t="shared" si="0" ref="D12:D23">B12-C12</f>
        <v>1655.4700000000012</v>
      </c>
    </row>
    <row r="13" spans="1:4" ht="12.75" customHeight="1">
      <c r="A13" s="9" t="s">
        <v>13</v>
      </c>
      <c r="B13" s="8">
        <v>63451.79</v>
      </c>
      <c r="C13" s="13">
        <v>55873</v>
      </c>
      <c r="D13" s="8">
        <f t="shared" si="0"/>
        <v>7578.790000000001</v>
      </c>
    </row>
    <row r="14" spans="1:4" ht="12.75" customHeight="1">
      <c r="A14" s="9" t="s">
        <v>14</v>
      </c>
      <c r="B14" s="8">
        <v>63451.79</v>
      </c>
      <c r="C14" s="13">
        <v>81834.65</v>
      </c>
      <c r="D14" s="8">
        <f t="shared" si="0"/>
        <v>-18382.859999999993</v>
      </c>
    </row>
    <row r="15" spans="1:4" ht="12.75" customHeight="1">
      <c r="A15" s="9" t="s">
        <v>15</v>
      </c>
      <c r="B15" s="8">
        <v>63451.79</v>
      </c>
      <c r="C15" s="13">
        <v>64128.85</v>
      </c>
      <c r="D15" s="8">
        <f t="shared" si="0"/>
        <v>-677.0599999999977</v>
      </c>
    </row>
    <row r="16" spans="1:4" ht="12.75" customHeight="1">
      <c r="A16" s="9" t="s">
        <v>16</v>
      </c>
      <c r="B16" s="8">
        <v>63451.79</v>
      </c>
      <c r="C16" s="13">
        <v>57552.14</v>
      </c>
      <c r="D16" s="8">
        <f t="shared" si="0"/>
        <v>5899.6500000000015</v>
      </c>
    </row>
    <row r="17" spans="1:4" ht="12.75" customHeight="1">
      <c r="A17" s="9" t="s">
        <v>17</v>
      </c>
      <c r="B17" s="8">
        <v>63451.79</v>
      </c>
      <c r="C17" s="13">
        <v>72533.68</v>
      </c>
      <c r="D17" s="8">
        <f t="shared" si="0"/>
        <v>-9081.889999999992</v>
      </c>
    </row>
    <row r="18" spans="1:4" ht="12.75" customHeight="1">
      <c r="A18" s="9" t="s">
        <v>18</v>
      </c>
      <c r="B18" s="8">
        <v>63451.79</v>
      </c>
      <c r="C18" s="13">
        <v>50713.66</v>
      </c>
      <c r="D18" s="8">
        <f t="shared" si="0"/>
        <v>12738.129999999997</v>
      </c>
    </row>
    <row r="19" spans="1:4" ht="12.75" customHeight="1">
      <c r="A19" s="9" t="s">
        <v>19</v>
      </c>
      <c r="B19" s="8">
        <v>63451.79</v>
      </c>
      <c r="C19" s="13">
        <v>63220.23</v>
      </c>
      <c r="D19" s="8">
        <f t="shared" si="0"/>
        <v>231.55999999999767</v>
      </c>
    </row>
    <row r="20" spans="1:4" ht="12.75" customHeight="1">
      <c r="A20" s="9" t="s">
        <v>20</v>
      </c>
      <c r="B20" s="13">
        <v>69777.99</v>
      </c>
      <c r="C20" s="13">
        <v>59983.06</v>
      </c>
      <c r="D20" s="8">
        <f t="shared" si="0"/>
        <v>9794.930000000008</v>
      </c>
    </row>
    <row r="21" spans="1:4" ht="12.75" customHeight="1">
      <c r="A21" s="9" t="s">
        <v>21</v>
      </c>
      <c r="B21" s="13">
        <v>69777.99</v>
      </c>
      <c r="C21" s="13">
        <v>74394.01</v>
      </c>
      <c r="D21" s="13">
        <f t="shared" si="0"/>
        <v>-4616.0199999999895</v>
      </c>
    </row>
    <row r="22" spans="1:4" ht="12.75" customHeight="1">
      <c r="A22" s="9" t="s">
        <v>22</v>
      </c>
      <c r="B22" s="13">
        <v>69777.99</v>
      </c>
      <c r="C22" s="13">
        <v>62589.76</v>
      </c>
      <c r="D22" s="13">
        <f t="shared" si="0"/>
        <v>7188.230000000003</v>
      </c>
    </row>
    <row r="23" spans="1:4" ht="12.75" customHeight="1">
      <c r="A23" s="9" t="s">
        <v>23</v>
      </c>
      <c r="B23" s="13">
        <v>69777.99</v>
      </c>
      <c r="C23" s="13">
        <v>67086.91</v>
      </c>
      <c r="D23" s="13">
        <f t="shared" si="0"/>
        <v>2691.0800000000017</v>
      </c>
    </row>
    <row r="24" spans="1:4" ht="12.75" customHeight="1" hidden="1">
      <c r="A24" s="7" t="s">
        <v>24</v>
      </c>
      <c r="B24" s="8">
        <f>SUM(B25:B36)</f>
        <v>0</v>
      </c>
      <c r="C24" s="8">
        <f>SUM(C25:C36)</f>
        <v>0</v>
      </c>
      <c r="D24" s="8">
        <f>SUM(D25:D36)</f>
        <v>0</v>
      </c>
    </row>
    <row r="25" spans="1:4" ht="12.75" customHeight="1" hidden="1">
      <c r="A25" s="9" t="s">
        <v>25</v>
      </c>
      <c r="B25" s="8"/>
      <c r="C25" s="8"/>
      <c r="D25" s="8">
        <f aca="true" t="shared" si="1" ref="D25:D36">B25-C25</f>
        <v>0</v>
      </c>
    </row>
    <row r="26" spans="1:4" ht="12.75" customHeight="1" hidden="1">
      <c r="A26" s="9" t="s">
        <v>13</v>
      </c>
      <c r="B26" s="13"/>
      <c r="C26" s="13"/>
      <c r="D26" s="8">
        <f t="shared" si="1"/>
        <v>0</v>
      </c>
    </row>
    <row r="27" spans="1:4" ht="12.75" customHeight="1" hidden="1">
      <c r="A27" s="9" t="s">
        <v>14</v>
      </c>
      <c r="B27" s="13"/>
      <c r="C27" s="13"/>
      <c r="D27" s="8">
        <f t="shared" si="1"/>
        <v>0</v>
      </c>
    </row>
    <row r="28" spans="1:4" ht="12.75" customHeight="1" hidden="1">
      <c r="A28" s="9" t="s">
        <v>15</v>
      </c>
      <c r="B28" s="13"/>
      <c r="C28" s="13"/>
      <c r="D28" s="8">
        <f t="shared" si="1"/>
        <v>0</v>
      </c>
    </row>
    <row r="29" spans="1:4" ht="12.75" customHeight="1" hidden="1">
      <c r="A29" s="9" t="s">
        <v>16</v>
      </c>
      <c r="B29" s="13"/>
      <c r="C29" s="13"/>
      <c r="D29" s="8">
        <f t="shared" si="1"/>
        <v>0</v>
      </c>
    </row>
    <row r="30" spans="1:4" ht="12.75" customHeight="1" hidden="1">
      <c r="A30" s="9" t="s">
        <v>17</v>
      </c>
      <c r="B30" s="13"/>
      <c r="C30" s="13"/>
      <c r="D30" s="8">
        <f t="shared" si="1"/>
        <v>0</v>
      </c>
    </row>
    <row r="31" spans="1:4" ht="12.75" customHeight="1" hidden="1">
      <c r="A31" s="9" t="s">
        <v>18</v>
      </c>
      <c r="B31" s="13"/>
      <c r="C31" s="13"/>
      <c r="D31" s="8">
        <f t="shared" si="1"/>
        <v>0</v>
      </c>
    </row>
    <row r="32" spans="1:4" ht="12.75" customHeight="1" hidden="1">
      <c r="A32" s="9" t="s">
        <v>19</v>
      </c>
      <c r="B32" s="13"/>
      <c r="C32" s="13"/>
      <c r="D32" s="8">
        <f t="shared" si="1"/>
        <v>0</v>
      </c>
    </row>
    <row r="33" spans="1:4" ht="12.75" customHeight="1" hidden="1">
      <c r="A33" s="9" t="s">
        <v>20</v>
      </c>
      <c r="B33" s="13"/>
      <c r="C33" s="13"/>
      <c r="D33" s="8">
        <f t="shared" si="1"/>
        <v>0</v>
      </c>
    </row>
    <row r="34" spans="1:4" ht="12.75" customHeight="1" hidden="1">
      <c r="A34" s="9" t="s">
        <v>21</v>
      </c>
      <c r="B34" s="13"/>
      <c r="C34" s="13"/>
      <c r="D34" s="13">
        <f t="shared" si="1"/>
        <v>0</v>
      </c>
    </row>
    <row r="35" spans="1:4" ht="12.75" customHeight="1" hidden="1">
      <c r="A35" s="9" t="s">
        <v>22</v>
      </c>
      <c r="B35" s="13"/>
      <c r="C35" s="13"/>
      <c r="D35" s="13">
        <f t="shared" si="1"/>
        <v>0</v>
      </c>
    </row>
    <row r="36" spans="1:4" ht="12.75" customHeight="1" hidden="1">
      <c r="A36" s="9" t="s">
        <v>23</v>
      </c>
      <c r="B36" s="10"/>
      <c r="C36" s="10"/>
      <c r="D36" s="13">
        <f t="shared" si="1"/>
        <v>0</v>
      </c>
    </row>
    <row r="37" spans="1:4" ht="12.75" customHeight="1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customHeight="1" hidden="1">
      <c r="A38" s="9" t="s">
        <v>22</v>
      </c>
      <c r="B38" s="13"/>
      <c r="C38" s="13">
        <v>0</v>
      </c>
      <c r="D38" s="13">
        <f>B38-C38</f>
        <v>0</v>
      </c>
    </row>
    <row r="39" spans="1:4" ht="12.75" customHeight="1" hidden="1">
      <c r="A39" s="9" t="s">
        <v>23</v>
      </c>
      <c r="B39" s="13"/>
      <c r="C39" s="13"/>
      <c r="D39" s="13">
        <f>B39-C39</f>
        <v>0</v>
      </c>
    </row>
    <row r="40" spans="1:4" ht="12.75" customHeight="1" hidden="1">
      <c r="A40" s="7" t="s">
        <v>42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customHeight="1" hidden="1">
      <c r="A41" s="9" t="s">
        <v>19</v>
      </c>
      <c r="B41" s="8"/>
      <c r="C41" s="8"/>
      <c r="D41" s="8">
        <f>B41-C41</f>
        <v>0</v>
      </c>
    </row>
    <row r="42" spans="1:4" ht="12.75" customHeight="1" hidden="1">
      <c r="A42" s="9" t="s">
        <v>20</v>
      </c>
      <c r="B42" s="13"/>
      <c r="C42" s="13"/>
      <c r="D42" s="8">
        <f>B42-C42</f>
        <v>0</v>
      </c>
    </row>
    <row r="43" spans="1:4" ht="12.75" customHeight="1" hidden="1">
      <c r="A43" s="9" t="s">
        <v>21</v>
      </c>
      <c r="B43" s="13"/>
      <c r="C43" s="13"/>
      <c r="D43" s="13">
        <f>B43-C43</f>
        <v>0</v>
      </c>
    </row>
    <row r="44" spans="1:4" ht="12.75" customHeight="1" hidden="1">
      <c r="A44" s="9" t="s">
        <v>22</v>
      </c>
      <c r="B44" s="13"/>
      <c r="C44" s="13"/>
      <c r="D44" s="13">
        <f>B44-C44</f>
        <v>0</v>
      </c>
    </row>
    <row r="45" spans="1:4" ht="12.75" customHeight="1" hidden="1">
      <c r="A45" s="9" t="s">
        <v>23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786726.2799999999</v>
      </c>
      <c r="C46" s="8">
        <f>C11+C24</f>
        <v>771706.2700000001</v>
      </c>
      <c r="D46" s="8">
        <f>D11+D24</f>
        <v>15020.010000000038</v>
      </c>
    </row>
    <row r="48" spans="1:4" ht="12.75">
      <c r="A48" t="s">
        <v>27</v>
      </c>
      <c r="D48" s="12">
        <f>D46</f>
        <v>15020.010000000038</v>
      </c>
    </row>
    <row r="50" spans="1:4" ht="12.75">
      <c r="A50" s="11" t="s">
        <v>28</v>
      </c>
      <c r="D50" s="12">
        <f>D51+D52</f>
        <v>56556.228</v>
      </c>
    </row>
    <row r="51" spans="1:4" ht="12.75" hidden="1">
      <c r="A51" s="11" t="s">
        <v>29</v>
      </c>
      <c r="D51" s="12">
        <f>(1.33*4*D3)+(1.21*8*D3)</f>
        <v>47446.5</v>
      </c>
    </row>
    <row r="52" spans="1:4" ht="12.75" hidden="1">
      <c r="A52" s="11" t="s">
        <v>30</v>
      </c>
      <c r="D52" s="12">
        <f>(0.24*12*D3)</f>
        <v>9109.728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1062.6*0.22*4+(1062.6*2.5)</f>
        <v>3591.5879999999997</v>
      </c>
    </row>
    <row r="55" spans="1:4" ht="12.75">
      <c r="A55" s="11" t="s">
        <v>80</v>
      </c>
      <c r="D55" s="12">
        <f>(2.66*4*D3)+(2.42*8*D3)</f>
        <v>94893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(0.72*3*D3)</f>
        <v>6832.296</v>
      </c>
    </row>
    <row r="58" spans="1:4" ht="12.75">
      <c r="A58" s="11" t="s">
        <v>33</v>
      </c>
      <c r="D58" s="12">
        <f>(1.45*4*D3)+(1.32*8*D3)</f>
        <v>51748.316000000006</v>
      </c>
    </row>
    <row r="59" spans="1:4" ht="12.75">
      <c r="A59" s="11" t="s">
        <v>34</v>
      </c>
      <c r="D59" s="12">
        <f>(4.94*4*D3)+(4.51*8*D3)</f>
        <v>176627.504</v>
      </c>
    </row>
    <row r="60" spans="1:4" ht="12.75">
      <c r="A60" s="11" t="s">
        <v>35</v>
      </c>
      <c r="D60" s="12">
        <f>(0.29*4*D3)+(0.26*8*D3)</f>
        <v>10248.444</v>
      </c>
    </row>
    <row r="61" spans="1:4" ht="12.75">
      <c r="A61" s="11" t="s">
        <v>78</v>
      </c>
      <c r="D61" s="12">
        <f>(3.87*4*D3)+(3.52*8*D3)</f>
        <v>138037.684</v>
      </c>
    </row>
    <row r="62" spans="1:4" ht="12.75">
      <c r="A62" s="11" t="s">
        <v>36</v>
      </c>
      <c r="D62" s="12">
        <f>2.25*12*D4</f>
        <v>1674</v>
      </c>
    </row>
    <row r="63" spans="1:4" ht="12.75">
      <c r="A63" s="11" t="s">
        <v>37</v>
      </c>
      <c r="D63" s="12">
        <v>157503</v>
      </c>
    </row>
    <row r="64" spans="1:4" ht="12.75">
      <c r="A64" s="11" t="s">
        <v>38</v>
      </c>
      <c r="D64" s="12">
        <f>(0.91*4*D3)+(0.83*8*D3)</f>
        <v>32516.667999999998</v>
      </c>
    </row>
    <row r="65" spans="1:4" ht="12.75" hidden="1">
      <c r="A65" s="14" t="s">
        <v>62</v>
      </c>
      <c r="D65" s="12">
        <v>0</v>
      </c>
    </row>
    <row r="66" spans="1:4" ht="12.75">
      <c r="A66" s="11"/>
      <c r="D66" s="12"/>
    </row>
    <row r="67" spans="1:4" ht="12.75">
      <c r="A67" s="11" t="s">
        <v>39</v>
      </c>
      <c r="D67" s="12">
        <f>D50+D53+D54+D55+D56+D57+D58+D59+D60+D61+D62+D63+D64+D65</f>
        <v>730228.728</v>
      </c>
    </row>
    <row r="68" spans="1:4" ht="12.75">
      <c r="A68" s="11"/>
      <c r="D68" s="12"/>
    </row>
    <row r="69" spans="1:4" ht="12.75">
      <c r="A69" t="s">
        <v>66</v>
      </c>
      <c r="D69" s="12">
        <f>C46-D67</f>
        <v>41477.54200000013</v>
      </c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H60"/>
  <sheetViews>
    <sheetView zoomScalePageLayoutView="0" workbookViewId="0" topLeftCell="A7">
      <selection activeCell="B37" sqref="B37:D37"/>
    </sheetView>
  </sheetViews>
  <sheetFormatPr defaultColWidth="9.140625" defaultRowHeight="12.75"/>
  <cols>
    <col min="1" max="1" width="13.421875" style="0" customWidth="1"/>
    <col min="2" max="2" width="14.57421875" style="0" customWidth="1"/>
    <col min="3" max="3" width="14.7109375" style="0" customWidth="1"/>
    <col min="4" max="4" width="15.140625" style="0" customWidth="1"/>
  </cols>
  <sheetData>
    <row r="1" spans="1:7" ht="12.75" customHeight="1">
      <c r="A1" s="1" t="s">
        <v>0</v>
      </c>
      <c r="B1" s="2" t="s">
        <v>1</v>
      </c>
      <c r="C1" s="1" t="s">
        <v>53</v>
      </c>
      <c r="D1" s="1"/>
      <c r="E1" s="1" t="s">
        <v>2</v>
      </c>
      <c r="F1" s="3">
        <v>3</v>
      </c>
      <c r="G1">
        <v>2016</v>
      </c>
    </row>
    <row r="3" spans="1:5" ht="12.75">
      <c r="A3" t="s">
        <v>3</v>
      </c>
      <c r="D3" s="4">
        <v>2133.71</v>
      </c>
      <c r="E3" s="5" t="s">
        <v>40</v>
      </c>
    </row>
    <row r="4" spans="1:5" ht="12.75">
      <c r="A4" t="s">
        <v>4</v>
      </c>
      <c r="D4" s="4">
        <v>45</v>
      </c>
      <c r="E4" s="5"/>
    </row>
    <row r="5" spans="1:5" ht="12.75">
      <c r="A5" t="s">
        <v>5</v>
      </c>
      <c r="D5" s="4">
        <v>94</v>
      </c>
      <c r="E5" s="5" t="s">
        <v>6</v>
      </c>
    </row>
    <row r="6" spans="1:5" ht="12.75">
      <c r="A6" t="s">
        <v>7</v>
      </c>
      <c r="D6" s="4">
        <v>294.7</v>
      </c>
      <c r="E6" s="5" t="s">
        <v>40</v>
      </c>
    </row>
    <row r="7" spans="1:5" ht="12.75">
      <c r="A7" t="s">
        <v>8</v>
      </c>
      <c r="D7" s="4">
        <v>2578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530397.7600000001</v>
      </c>
      <c r="C11" s="8">
        <f>SUM(C12:C23)</f>
        <v>504643.4099999999</v>
      </c>
      <c r="D11" s="8">
        <f>SUM(D12:D23)</f>
        <v>25754.350000000006</v>
      </c>
    </row>
    <row r="12" spans="1:4" ht="12.75" customHeight="1">
      <c r="A12" s="9" t="s">
        <v>25</v>
      </c>
      <c r="B12" s="8">
        <v>42778.14</v>
      </c>
      <c r="C12" s="8">
        <v>38066.27</v>
      </c>
      <c r="D12" s="8">
        <f aca="true" t="shared" si="0" ref="D12:D23">B12-C12</f>
        <v>4711.870000000003</v>
      </c>
    </row>
    <row r="13" spans="1:4" ht="12.75" customHeight="1">
      <c r="A13" s="9" t="s">
        <v>13</v>
      </c>
      <c r="B13" s="8">
        <v>42778.14</v>
      </c>
      <c r="C13" s="13">
        <v>38959.72</v>
      </c>
      <c r="D13" s="8">
        <f t="shared" si="0"/>
        <v>3818.4199999999983</v>
      </c>
    </row>
    <row r="14" spans="1:4" ht="12.75" customHeight="1">
      <c r="A14" s="9" t="s">
        <v>14</v>
      </c>
      <c r="B14" s="8">
        <v>42778.14</v>
      </c>
      <c r="C14" s="13">
        <v>45983.5</v>
      </c>
      <c r="D14" s="8">
        <f t="shared" si="0"/>
        <v>-3205.3600000000006</v>
      </c>
    </row>
    <row r="15" spans="1:4" ht="12.75" customHeight="1">
      <c r="A15" s="9" t="s">
        <v>15</v>
      </c>
      <c r="B15" s="8">
        <v>42778.14</v>
      </c>
      <c r="C15" s="13">
        <v>43805.62</v>
      </c>
      <c r="D15" s="8">
        <f t="shared" si="0"/>
        <v>-1027.4800000000032</v>
      </c>
    </row>
    <row r="16" spans="1:4" ht="12.75" customHeight="1">
      <c r="A16" s="9" t="s">
        <v>16</v>
      </c>
      <c r="B16" s="8">
        <v>42778.14</v>
      </c>
      <c r="C16" s="13">
        <v>44151.04</v>
      </c>
      <c r="D16" s="8">
        <f t="shared" si="0"/>
        <v>-1372.9000000000015</v>
      </c>
    </row>
    <row r="17" spans="1:4" ht="12.75" customHeight="1">
      <c r="A17" s="9" t="s">
        <v>17</v>
      </c>
      <c r="B17" s="8">
        <v>42778.14</v>
      </c>
      <c r="C17" s="13">
        <v>39117.81</v>
      </c>
      <c r="D17" s="8">
        <f t="shared" si="0"/>
        <v>3660.3300000000017</v>
      </c>
    </row>
    <row r="18" spans="1:4" ht="12.75" customHeight="1">
      <c r="A18" s="9" t="s">
        <v>18</v>
      </c>
      <c r="B18" s="8">
        <v>42778.14</v>
      </c>
      <c r="C18" s="13">
        <v>39561.91</v>
      </c>
      <c r="D18" s="8">
        <f t="shared" si="0"/>
        <v>3216.229999999996</v>
      </c>
    </row>
    <row r="19" spans="1:4" ht="12.75" customHeight="1">
      <c r="A19" s="9" t="s">
        <v>19</v>
      </c>
      <c r="B19" s="8">
        <v>42778.14</v>
      </c>
      <c r="C19" s="13">
        <v>39213.47</v>
      </c>
      <c r="D19" s="8">
        <f t="shared" si="0"/>
        <v>3564.6699999999983</v>
      </c>
    </row>
    <row r="20" spans="1:4" ht="12.75" customHeight="1">
      <c r="A20" s="9" t="s">
        <v>20</v>
      </c>
      <c r="B20" s="13">
        <v>47043.16</v>
      </c>
      <c r="C20" s="13">
        <v>38190.3</v>
      </c>
      <c r="D20" s="8">
        <f t="shared" si="0"/>
        <v>8852.86</v>
      </c>
    </row>
    <row r="21" spans="1:4" ht="12.75" customHeight="1">
      <c r="A21" s="9" t="s">
        <v>21</v>
      </c>
      <c r="B21" s="13">
        <v>47043.16</v>
      </c>
      <c r="C21" s="13">
        <v>55494.25</v>
      </c>
      <c r="D21" s="13">
        <f t="shared" si="0"/>
        <v>-8451.089999999997</v>
      </c>
    </row>
    <row r="22" spans="1:4" ht="12.75" customHeight="1">
      <c r="A22" s="9" t="s">
        <v>22</v>
      </c>
      <c r="B22" s="13">
        <v>47043.16</v>
      </c>
      <c r="C22" s="13">
        <v>38187.53</v>
      </c>
      <c r="D22" s="13">
        <f t="shared" si="0"/>
        <v>8855.630000000005</v>
      </c>
    </row>
    <row r="23" spans="1:4" ht="12.75" customHeight="1">
      <c r="A23" s="9" t="s">
        <v>23</v>
      </c>
      <c r="B23" s="13">
        <v>47043.16</v>
      </c>
      <c r="C23" s="13">
        <v>43911.99</v>
      </c>
      <c r="D23" s="13">
        <f t="shared" si="0"/>
        <v>3131.1700000000055</v>
      </c>
    </row>
    <row r="24" spans="1:4" ht="12.75">
      <c r="A24" s="7" t="s">
        <v>24</v>
      </c>
      <c r="B24" s="8">
        <f>SUM(B25:B36)</f>
        <v>526.15</v>
      </c>
      <c r="C24" s="8">
        <f>SUM(C25:C36)</f>
        <v>425.43999999999994</v>
      </c>
      <c r="D24" s="8">
        <f>SUM(D25:D36)</f>
        <v>100.71000000000001</v>
      </c>
    </row>
    <row r="25" spans="1:4" ht="12.75" customHeight="1">
      <c r="A25" s="9" t="s">
        <v>25</v>
      </c>
      <c r="B25" s="8">
        <v>45.25</v>
      </c>
      <c r="C25" s="8">
        <v>31.89</v>
      </c>
      <c r="D25" s="8">
        <f aca="true" t="shared" si="1" ref="D25:D36">B25-C25</f>
        <v>13.36</v>
      </c>
    </row>
    <row r="26" spans="1:4" ht="12.75" customHeight="1">
      <c r="A26" s="9" t="s">
        <v>13</v>
      </c>
      <c r="B26" s="8">
        <v>45.25</v>
      </c>
      <c r="C26" s="13">
        <v>45.33</v>
      </c>
      <c r="D26" s="8">
        <f t="shared" si="1"/>
        <v>-0.0799999999999983</v>
      </c>
    </row>
    <row r="27" spans="1:4" ht="12.75" customHeight="1">
      <c r="A27" s="9" t="s">
        <v>14</v>
      </c>
      <c r="B27" s="8">
        <v>45.25</v>
      </c>
      <c r="C27" s="13">
        <v>37.05</v>
      </c>
      <c r="D27" s="8">
        <f t="shared" si="1"/>
        <v>8.200000000000003</v>
      </c>
    </row>
    <row r="28" spans="1:4" ht="12.75" customHeight="1">
      <c r="A28" s="9" t="s">
        <v>15</v>
      </c>
      <c r="B28" s="8">
        <v>45.25</v>
      </c>
      <c r="C28" s="13">
        <v>35.28</v>
      </c>
      <c r="D28" s="8">
        <f t="shared" si="1"/>
        <v>9.969999999999999</v>
      </c>
    </row>
    <row r="29" spans="1:4" ht="12.75" customHeight="1">
      <c r="A29" s="9" t="s">
        <v>16</v>
      </c>
      <c r="B29" s="8">
        <v>45.25</v>
      </c>
      <c r="C29" s="13">
        <v>27.38</v>
      </c>
      <c r="D29" s="8">
        <f t="shared" si="1"/>
        <v>17.87</v>
      </c>
    </row>
    <row r="30" spans="1:4" ht="12.75" customHeight="1">
      <c r="A30" s="9" t="s">
        <v>17</v>
      </c>
      <c r="B30" s="8">
        <v>45.25</v>
      </c>
      <c r="C30" s="13">
        <v>45.05</v>
      </c>
      <c r="D30" s="8">
        <f t="shared" si="1"/>
        <v>0.20000000000000284</v>
      </c>
    </row>
    <row r="31" spans="1:4" ht="12.75" customHeight="1">
      <c r="A31" s="9" t="s">
        <v>18</v>
      </c>
      <c r="B31" s="8">
        <v>45.25</v>
      </c>
      <c r="C31" s="13">
        <v>41.57</v>
      </c>
      <c r="D31" s="8">
        <f t="shared" si="1"/>
        <v>3.6799999999999997</v>
      </c>
    </row>
    <row r="32" spans="1:4" ht="12.75" customHeight="1">
      <c r="A32" s="9" t="s">
        <v>19</v>
      </c>
      <c r="B32" s="8">
        <v>41.88</v>
      </c>
      <c r="C32" s="13">
        <v>37.5</v>
      </c>
      <c r="D32" s="8">
        <f t="shared" si="1"/>
        <v>4.380000000000003</v>
      </c>
    </row>
    <row r="33" spans="1:4" ht="12.75" customHeight="1">
      <c r="A33" s="9" t="s">
        <v>20</v>
      </c>
      <c r="B33" s="8">
        <v>41.88</v>
      </c>
      <c r="C33" s="13">
        <v>28.52</v>
      </c>
      <c r="D33" s="8">
        <f t="shared" si="1"/>
        <v>13.360000000000003</v>
      </c>
    </row>
    <row r="34" spans="1:4" ht="12.75" customHeight="1">
      <c r="A34" s="9" t="s">
        <v>21</v>
      </c>
      <c r="B34" s="8">
        <v>41.88</v>
      </c>
      <c r="C34" s="13">
        <v>33.9</v>
      </c>
      <c r="D34" s="13">
        <f t="shared" si="1"/>
        <v>7.980000000000004</v>
      </c>
    </row>
    <row r="35" spans="1:4" ht="12.75" customHeight="1">
      <c r="A35" s="9" t="s">
        <v>22</v>
      </c>
      <c r="B35" s="8">
        <v>41.88</v>
      </c>
      <c r="C35" s="13">
        <v>28.52</v>
      </c>
      <c r="D35" s="13">
        <f t="shared" si="1"/>
        <v>13.360000000000003</v>
      </c>
    </row>
    <row r="36" spans="1:4" ht="12.75" customHeight="1">
      <c r="A36" s="9" t="s">
        <v>23</v>
      </c>
      <c r="B36" s="8">
        <v>41.88</v>
      </c>
      <c r="C36" s="13">
        <v>33.45</v>
      </c>
      <c r="D36" s="13">
        <f t="shared" si="1"/>
        <v>8.43</v>
      </c>
    </row>
    <row r="37" spans="1:4" ht="12.75">
      <c r="A37" s="9" t="s">
        <v>26</v>
      </c>
      <c r="B37" s="8">
        <f>B11+B24</f>
        <v>530923.9100000001</v>
      </c>
      <c r="C37" s="8">
        <f>C11+C24</f>
        <v>505068.8499999999</v>
      </c>
      <c r="D37" s="8">
        <f>D11+D24</f>
        <v>25855.060000000005</v>
      </c>
    </row>
    <row r="39" spans="1:4" ht="12.75">
      <c r="A39" t="s">
        <v>27</v>
      </c>
      <c r="D39" s="12">
        <f>D37</f>
        <v>25855.060000000005</v>
      </c>
    </row>
    <row r="41" spans="1:4" ht="12.75">
      <c r="A41" s="11" t="s">
        <v>28</v>
      </c>
      <c r="D41" s="12">
        <f>D42+D43</f>
        <v>38150.7348</v>
      </c>
    </row>
    <row r="42" spans="1:4" ht="12.75" customHeight="1" hidden="1">
      <c r="A42" s="11" t="s">
        <v>29</v>
      </c>
      <c r="D42" s="12">
        <f>(1.33*4*D3)+(1.21*8*D3)</f>
        <v>32005.65</v>
      </c>
    </row>
    <row r="43" spans="1:4" ht="12.75" customHeight="1" hidden="1">
      <c r="A43" s="11" t="s">
        <v>30</v>
      </c>
      <c r="D43" s="12">
        <f>(0.24*12*D3)</f>
        <v>6145.0848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773.7*0.22*4+(773.7*2.5)</f>
        <v>2615.1059999999998</v>
      </c>
    </row>
    <row r="46" spans="1:4" ht="12.75">
      <c r="A46" s="11" t="s">
        <v>80</v>
      </c>
      <c r="D46" s="12">
        <f>(2.66*4*D3)+(2.42*8*D3)</f>
        <v>64011.3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4608.8136</v>
      </c>
    </row>
    <row r="49" spans="1:4" ht="12.75">
      <c r="A49" s="11" t="s">
        <v>33</v>
      </c>
      <c r="D49" s="12">
        <f>(1.45*4*D3)+(1.32*8*D3)</f>
        <v>34907.4956</v>
      </c>
    </row>
    <row r="50" spans="1:4" ht="12.75">
      <c r="A50" s="11" t="s">
        <v>34</v>
      </c>
      <c r="D50" s="12">
        <f>(4.94*4*D3)+(4.51*8*D3)</f>
        <v>119146.3664</v>
      </c>
    </row>
    <row r="51" spans="1:4" ht="12.75">
      <c r="A51" s="11" t="s">
        <v>35</v>
      </c>
      <c r="D51" s="12">
        <f>(0.29*4*D3)+(0.26*8*D3)</f>
        <v>6913.2204</v>
      </c>
    </row>
    <row r="52" spans="1:4" ht="12.75">
      <c r="A52" s="11" t="s">
        <v>78</v>
      </c>
      <c r="D52" s="12">
        <f>(3.87*4*D3)+(3.52*8*D3)</f>
        <v>93115.10440000001</v>
      </c>
    </row>
    <row r="53" spans="1:4" ht="12.75">
      <c r="A53" s="11" t="s">
        <v>36</v>
      </c>
      <c r="D53" s="12">
        <f>2.25*12*D4</f>
        <v>1215</v>
      </c>
    </row>
    <row r="54" spans="1:4" ht="12.75">
      <c r="A54" s="11" t="s">
        <v>37</v>
      </c>
      <c r="D54" s="12">
        <v>89486</v>
      </c>
    </row>
    <row r="55" spans="1:4" ht="12.75">
      <c r="A55" s="11" t="s">
        <v>38</v>
      </c>
      <c r="D55" s="12">
        <f>(0.91*4*D3)+(0.83*8*D3)</f>
        <v>21934.538800000002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8" ht="12.75">
      <c r="A58" s="11" t="s">
        <v>39</v>
      </c>
      <c r="D58" s="12">
        <f>D41+D44+D45+D46+D47+D48+D49+D50+D51+D52+D53+D54+D55+D56</f>
        <v>476103.68</v>
      </c>
      <c r="H58" s="22"/>
    </row>
    <row r="59" spans="1:4" ht="12.75">
      <c r="A59" s="11"/>
      <c r="D59" s="12"/>
    </row>
    <row r="60" spans="1:4" ht="12.75">
      <c r="A60" t="s">
        <v>66</v>
      </c>
      <c r="D60" s="12">
        <f>C37-D58</f>
        <v>28965.169999999925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75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13.57421875" style="0" customWidth="1"/>
    <col min="2" max="2" width="15.421875" style="0" customWidth="1"/>
    <col min="3" max="3" width="15.8515625" style="0" customWidth="1"/>
    <col min="4" max="4" width="15.140625" style="0" customWidth="1"/>
  </cols>
  <sheetData>
    <row r="1" spans="1:7" ht="12.75">
      <c r="A1" s="1" t="s">
        <v>0</v>
      </c>
      <c r="B1" s="2" t="s">
        <v>1</v>
      </c>
      <c r="C1" s="1" t="s">
        <v>43</v>
      </c>
      <c r="D1" s="1"/>
      <c r="E1" s="1" t="s">
        <v>2</v>
      </c>
      <c r="F1" s="3" t="s">
        <v>44</v>
      </c>
      <c r="G1">
        <v>2016</v>
      </c>
    </row>
    <row r="3" spans="1:5" ht="12.75">
      <c r="A3" t="s">
        <v>3</v>
      </c>
      <c r="D3" s="4">
        <v>3031.1</v>
      </c>
      <c r="E3" s="5" t="s">
        <v>40</v>
      </c>
    </row>
    <row r="4" spans="1:5" ht="12.75">
      <c r="A4" t="s">
        <v>4</v>
      </c>
      <c r="D4" s="4">
        <v>139</v>
      </c>
      <c r="E4" s="5"/>
    </row>
    <row r="5" spans="1:5" ht="12.75">
      <c r="A5" t="s">
        <v>5</v>
      </c>
      <c r="D5" s="4">
        <v>306</v>
      </c>
      <c r="E5" s="5" t="s">
        <v>6</v>
      </c>
    </row>
    <row r="6" spans="1:5" ht="12.75">
      <c r="A6" t="s">
        <v>7</v>
      </c>
      <c r="D6" s="4">
        <v>153</v>
      </c>
      <c r="E6" s="5" t="s">
        <v>40</v>
      </c>
    </row>
    <row r="7" spans="1:5" ht="12.75">
      <c r="A7" t="s">
        <v>8</v>
      </c>
      <c r="D7" s="4">
        <v>134</v>
      </c>
      <c r="E7" s="5" t="s">
        <v>40</v>
      </c>
    </row>
    <row r="8" ht="13.5" customHeight="1"/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678607.24</v>
      </c>
      <c r="C11" s="8">
        <f>SUM(C12:C23)</f>
        <v>688440.58</v>
      </c>
      <c r="D11" s="8">
        <f>SUM(D12:D23)</f>
        <v>-9833.340000000011</v>
      </c>
    </row>
    <row r="12" spans="1:4" ht="12.75">
      <c r="A12" s="9" t="s">
        <v>25</v>
      </c>
      <c r="B12" s="8">
        <v>54731.31</v>
      </c>
      <c r="C12" s="8">
        <v>52043.83</v>
      </c>
      <c r="D12" s="8">
        <f aca="true" t="shared" si="0" ref="D12:D23">B12-C12</f>
        <v>2687.479999999996</v>
      </c>
    </row>
    <row r="13" spans="1:4" ht="12.75">
      <c r="A13" s="9" t="s">
        <v>13</v>
      </c>
      <c r="B13" s="8">
        <v>54731.31</v>
      </c>
      <c r="C13" s="13">
        <v>58347.06</v>
      </c>
      <c r="D13" s="8">
        <f t="shared" si="0"/>
        <v>-3615.75</v>
      </c>
    </row>
    <row r="14" spans="1:4" ht="12.75">
      <c r="A14" s="9" t="s">
        <v>14</v>
      </c>
      <c r="B14" s="8">
        <v>54731.31</v>
      </c>
      <c r="C14" s="13">
        <v>64427.22</v>
      </c>
      <c r="D14" s="8">
        <f t="shared" si="0"/>
        <v>-9695.910000000003</v>
      </c>
    </row>
    <row r="15" spans="1:4" ht="12.75">
      <c r="A15" s="9" t="s">
        <v>15</v>
      </c>
      <c r="B15" s="8">
        <v>54731.31</v>
      </c>
      <c r="C15" s="13">
        <v>53306.37</v>
      </c>
      <c r="D15" s="8">
        <f t="shared" si="0"/>
        <v>1424.939999999995</v>
      </c>
    </row>
    <row r="16" spans="1:4" ht="12.75">
      <c r="A16" s="9" t="s">
        <v>16</v>
      </c>
      <c r="B16" s="8">
        <v>54731.31</v>
      </c>
      <c r="C16" s="13">
        <v>72786.39</v>
      </c>
      <c r="D16" s="8">
        <f t="shared" si="0"/>
        <v>-18055.08</v>
      </c>
    </row>
    <row r="17" spans="1:4" ht="12.75">
      <c r="A17" s="9" t="s">
        <v>17</v>
      </c>
      <c r="B17" s="8">
        <v>54731.31</v>
      </c>
      <c r="C17" s="13">
        <v>57678.06</v>
      </c>
      <c r="D17" s="8">
        <f t="shared" si="0"/>
        <v>-2946.75</v>
      </c>
    </row>
    <row r="18" spans="1:4" ht="12.75">
      <c r="A18" s="9" t="s">
        <v>18</v>
      </c>
      <c r="B18" s="8">
        <v>54731.31</v>
      </c>
      <c r="C18" s="13">
        <v>52310.43</v>
      </c>
      <c r="D18" s="8">
        <f t="shared" si="0"/>
        <v>2420.8799999999974</v>
      </c>
    </row>
    <row r="19" spans="1:4" ht="12.75">
      <c r="A19" s="9" t="s">
        <v>19</v>
      </c>
      <c r="B19" s="8">
        <v>54731.31</v>
      </c>
      <c r="C19" s="13">
        <v>57409.69</v>
      </c>
      <c r="D19" s="8">
        <f t="shared" si="0"/>
        <v>-2678.3800000000047</v>
      </c>
    </row>
    <row r="20" spans="1:4" ht="12.75">
      <c r="A20" s="9" t="s">
        <v>20</v>
      </c>
      <c r="B20" s="13">
        <v>60189.19</v>
      </c>
      <c r="C20" s="13">
        <v>48785.11</v>
      </c>
      <c r="D20" s="8">
        <f t="shared" si="0"/>
        <v>11404.080000000002</v>
      </c>
    </row>
    <row r="21" spans="1:4" ht="12.75">
      <c r="A21" s="9" t="s">
        <v>21</v>
      </c>
      <c r="B21" s="13">
        <v>60189.19</v>
      </c>
      <c r="C21" s="13">
        <v>59811.36</v>
      </c>
      <c r="D21" s="13">
        <f t="shared" si="0"/>
        <v>377.83000000000175</v>
      </c>
    </row>
    <row r="22" spans="1:4" ht="12.75">
      <c r="A22" s="9" t="s">
        <v>22</v>
      </c>
      <c r="B22" s="13">
        <v>60189.19</v>
      </c>
      <c r="C22" s="13">
        <v>54298.74</v>
      </c>
      <c r="D22" s="13">
        <f t="shared" si="0"/>
        <v>5890.450000000004</v>
      </c>
    </row>
    <row r="23" spans="1:4" ht="12.75">
      <c r="A23" s="9" t="s">
        <v>23</v>
      </c>
      <c r="B23" s="13">
        <v>60189.19</v>
      </c>
      <c r="C23" s="13">
        <v>57236.32</v>
      </c>
      <c r="D23" s="13">
        <f t="shared" si="0"/>
        <v>2952.8700000000026</v>
      </c>
    </row>
    <row r="24" spans="1:4" ht="12.75">
      <c r="A24" s="7" t="s">
        <v>24</v>
      </c>
      <c r="B24" s="8">
        <f>SUM(B25:B36)</f>
        <v>897.15</v>
      </c>
      <c r="C24" s="8">
        <f>SUM(C25:C36)</f>
        <v>917.44</v>
      </c>
      <c r="D24" s="8">
        <f>SUM(D25:D36)</f>
        <v>-20.289999999999978</v>
      </c>
    </row>
    <row r="25" spans="1:4" ht="12.75">
      <c r="A25" s="9" t="s">
        <v>25</v>
      </c>
      <c r="B25" s="8">
        <v>75.15</v>
      </c>
      <c r="C25" s="8">
        <v>71.13</v>
      </c>
      <c r="D25" s="8">
        <f aca="true" t="shared" si="1" ref="D25:D36">B25-C25</f>
        <v>4.02000000000001</v>
      </c>
    </row>
    <row r="26" spans="1:4" ht="12.75">
      <c r="A26" s="9" t="s">
        <v>13</v>
      </c>
      <c r="B26" s="8">
        <v>75.15</v>
      </c>
      <c r="C26" s="13">
        <v>76.62</v>
      </c>
      <c r="D26" s="8">
        <f t="shared" si="1"/>
        <v>-1.4699999999999989</v>
      </c>
    </row>
    <row r="27" spans="1:4" ht="12.75">
      <c r="A27" s="9" t="s">
        <v>14</v>
      </c>
      <c r="B27" s="8">
        <v>75.15</v>
      </c>
      <c r="C27" s="13">
        <v>117.67</v>
      </c>
      <c r="D27" s="8">
        <f t="shared" si="1"/>
        <v>-42.519999999999996</v>
      </c>
    </row>
    <row r="28" spans="1:4" ht="12.75">
      <c r="A28" s="9" t="s">
        <v>15</v>
      </c>
      <c r="B28" s="8">
        <v>75.15</v>
      </c>
      <c r="C28" s="13">
        <v>64.56</v>
      </c>
      <c r="D28" s="8">
        <f t="shared" si="1"/>
        <v>10.590000000000003</v>
      </c>
    </row>
    <row r="29" spans="1:4" ht="12.75">
      <c r="A29" s="9" t="s">
        <v>16</v>
      </c>
      <c r="B29" s="8">
        <v>75.15</v>
      </c>
      <c r="C29" s="13">
        <v>148.46</v>
      </c>
      <c r="D29" s="8">
        <f t="shared" si="1"/>
        <v>-73.31</v>
      </c>
    </row>
    <row r="30" spans="1:4" ht="12.75">
      <c r="A30" s="9" t="s">
        <v>17</v>
      </c>
      <c r="B30" s="8">
        <v>75.15</v>
      </c>
      <c r="C30" s="13">
        <v>88.03</v>
      </c>
      <c r="D30" s="8">
        <f t="shared" si="1"/>
        <v>-12.879999999999995</v>
      </c>
    </row>
    <row r="31" spans="1:4" ht="12.75">
      <c r="A31" s="9" t="s">
        <v>18</v>
      </c>
      <c r="B31" s="8">
        <v>75.15</v>
      </c>
      <c r="C31" s="13">
        <v>59.98</v>
      </c>
      <c r="D31" s="8">
        <f t="shared" si="1"/>
        <v>15.170000000000009</v>
      </c>
    </row>
    <row r="32" spans="1:4" ht="12.75">
      <c r="A32" s="9" t="s">
        <v>19</v>
      </c>
      <c r="B32" s="8">
        <v>75.15</v>
      </c>
      <c r="C32" s="13">
        <v>77.49</v>
      </c>
      <c r="D32" s="8">
        <f t="shared" si="1"/>
        <v>-2.339999999999989</v>
      </c>
    </row>
    <row r="33" spans="1:4" ht="12.75">
      <c r="A33" s="9" t="s">
        <v>20</v>
      </c>
      <c r="B33" s="8">
        <v>75.15</v>
      </c>
      <c r="C33" s="13">
        <v>38.27</v>
      </c>
      <c r="D33" s="8">
        <f t="shared" si="1"/>
        <v>36.88</v>
      </c>
    </row>
    <row r="34" spans="1:4" ht="12.75">
      <c r="A34" s="9" t="s">
        <v>21</v>
      </c>
      <c r="B34" s="13">
        <v>73.6</v>
      </c>
      <c r="C34" s="13">
        <v>68.97</v>
      </c>
      <c r="D34" s="13">
        <f t="shared" si="1"/>
        <v>4.6299999999999955</v>
      </c>
    </row>
    <row r="35" spans="1:4" ht="12.75">
      <c r="A35" s="9" t="s">
        <v>22</v>
      </c>
      <c r="B35" s="13">
        <v>73.6</v>
      </c>
      <c r="C35" s="13">
        <v>51.02</v>
      </c>
      <c r="D35" s="13">
        <f t="shared" si="1"/>
        <v>22.57999999999999</v>
      </c>
    </row>
    <row r="36" spans="1:4" ht="12.75">
      <c r="A36" s="9" t="s">
        <v>23</v>
      </c>
      <c r="B36" s="13">
        <v>73.6</v>
      </c>
      <c r="C36" s="13">
        <v>55.24</v>
      </c>
      <c r="D36" s="13">
        <f t="shared" si="1"/>
        <v>18.359999999999992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 t="e">
        <f>SUM(D38:D39)+#REF!</f>
        <v>#REF!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81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18</v>
      </c>
      <c r="B41" s="8"/>
      <c r="C41" s="8"/>
      <c r="D41" s="8">
        <f>B41-C41</f>
        <v>0</v>
      </c>
    </row>
    <row r="42" spans="1:4" ht="12.75" hidden="1">
      <c r="A42" s="9" t="s">
        <v>19</v>
      </c>
      <c r="B42" s="13"/>
      <c r="C42" s="13"/>
      <c r="D42" s="8">
        <f>B42-C42</f>
        <v>0</v>
      </c>
    </row>
    <row r="43" spans="1:4" ht="12.75" hidden="1">
      <c r="A43" s="9" t="s">
        <v>20</v>
      </c>
      <c r="B43" s="13"/>
      <c r="C43" s="13"/>
      <c r="D43" s="13">
        <f>B43-C43</f>
        <v>0</v>
      </c>
    </row>
    <row r="44" spans="1:4" ht="12.75" hidden="1">
      <c r="A44" s="9" t="s">
        <v>21</v>
      </c>
      <c r="B44" s="13"/>
      <c r="C44" s="13"/>
      <c r="D44" s="13">
        <f>B44-C44</f>
        <v>0</v>
      </c>
    </row>
    <row r="45" spans="1:4" ht="12.75" hidden="1">
      <c r="A45" s="9" t="s">
        <v>22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679504.39</v>
      </c>
      <c r="C46" s="8">
        <f>C11+C24</f>
        <v>689358.0199999999</v>
      </c>
      <c r="D46" s="8">
        <f>D11+D24</f>
        <v>-9853.630000000012</v>
      </c>
    </row>
    <row r="48" spans="1:4" ht="12.75">
      <c r="A48" t="s">
        <v>27</v>
      </c>
      <c r="D48" s="12">
        <f>D46</f>
        <v>-9853.630000000012</v>
      </c>
    </row>
    <row r="50" spans="1:4" ht="12.75" customHeight="1">
      <c r="A50" s="11" t="s">
        <v>28</v>
      </c>
      <c r="D50" s="12">
        <f>D51+D52</f>
        <v>54196.068</v>
      </c>
    </row>
    <row r="51" spans="1:4" ht="12.75" hidden="1">
      <c r="A51" s="11" t="s">
        <v>29</v>
      </c>
      <c r="D51" s="12">
        <f>(1.33*4*D3)+(1.21*8*D3)</f>
        <v>45466.5</v>
      </c>
    </row>
    <row r="52" spans="1:4" ht="12.75" hidden="1">
      <c r="A52" s="11" t="s">
        <v>30</v>
      </c>
      <c r="D52" s="12">
        <f>(0.24*12*D3)</f>
        <v>8729.568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1396*0.22*4+(1396*2.5)</f>
        <v>4718.48</v>
      </c>
    </row>
    <row r="55" spans="1:4" ht="12.75">
      <c r="A55" s="11" t="s">
        <v>80</v>
      </c>
      <c r="D55" s="12">
        <f>(2.66*4*D3)+(2.42*8*D3)</f>
        <v>90933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(0.72*2*D3)</f>
        <v>4364.784</v>
      </c>
    </row>
    <row r="58" spans="1:4" ht="12.75">
      <c r="A58" s="11" t="s">
        <v>33</v>
      </c>
      <c r="D58" s="12">
        <f>(1.45*4*D3)+(1.32*8*D3)</f>
        <v>49588.796</v>
      </c>
    </row>
    <row r="59" spans="1:4" ht="12.75">
      <c r="A59" s="11" t="s">
        <v>34</v>
      </c>
      <c r="D59" s="12">
        <f>(5.11*4*D3)+(4.51*8*D3)</f>
        <v>171317.772</v>
      </c>
    </row>
    <row r="60" spans="1:4" ht="12.75" hidden="1">
      <c r="A60" s="11" t="s">
        <v>35</v>
      </c>
      <c r="D60" s="12">
        <v>0</v>
      </c>
    </row>
    <row r="61" spans="1:4" ht="12.75">
      <c r="A61" s="11" t="s">
        <v>78</v>
      </c>
      <c r="D61" s="12">
        <f>(3.87*4*D3)+(3.52*8*D3)</f>
        <v>132277.204</v>
      </c>
    </row>
    <row r="62" spans="1:4" ht="12.75">
      <c r="A62" s="11" t="s">
        <v>36</v>
      </c>
      <c r="D62" s="12">
        <f>2.25*12*D4</f>
        <v>3753</v>
      </c>
    </row>
    <row r="63" spans="1:4" ht="12.75">
      <c r="A63" s="11" t="s">
        <v>37</v>
      </c>
      <c r="D63" s="12">
        <v>131696</v>
      </c>
    </row>
    <row r="64" spans="1:4" ht="12.75">
      <c r="A64" s="11" t="s">
        <v>38</v>
      </c>
      <c r="D64" s="12">
        <f>(0.63*4*D3)+(0.57*8*D3)</f>
        <v>21460.188</v>
      </c>
    </row>
    <row r="65" spans="1:4" ht="12.75" hidden="1">
      <c r="A65" s="14" t="s">
        <v>62</v>
      </c>
      <c r="D65" s="12">
        <v>0</v>
      </c>
    </row>
    <row r="66" spans="1:4" ht="12.75">
      <c r="A66" s="11"/>
      <c r="D66" s="12"/>
    </row>
    <row r="67" spans="1:4" ht="12.75">
      <c r="A67" s="11" t="s">
        <v>39</v>
      </c>
      <c r="D67" s="12">
        <f>D50+D53+D54+D55+D56+D57+D58+D59+D60+D61+D62+D63+D64</f>
        <v>664305.292</v>
      </c>
    </row>
    <row r="68" spans="1:4" ht="12.75">
      <c r="A68" s="11"/>
      <c r="D68" s="12"/>
    </row>
    <row r="69" spans="1:4" ht="12.75">
      <c r="A69" t="s">
        <v>65</v>
      </c>
      <c r="D69" s="12">
        <f>C46-D67</f>
        <v>25052.727999999886</v>
      </c>
    </row>
    <row r="74" ht="12.75">
      <c r="H74" s="22"/>
    </row>
    <row r="75" ht="12.75">
      <c r="H75" s="22"/>
    </row>
  </sheetData>
  <sheetProtection/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G79"/>
  <sheetViews>
    <sheetView zoomScalePageLayoutView="0" workbookViewId="0" topLeftCell="A22">
      <selection activeCell="J40" sqref="J40"/>
    </sheetView>
  </sheetViews>
  <sheetFormatPr defaultColWidth="9.140625" defaultRowHeight="12.75"/>
  <cols>
    <col min="1" max="1" width="13.57421875" style="0" customWidth="1"/>
    <col min="2" max="2" width="15.28125" style="0" customWidth="1"/>
    <col min="3" max="3" width="21.140625" style="0" customWidth="1"/>
    <col min="4" max="4" width="15.140625" style="0" customWidth="1"/>
    <col min="6" max="6" width="10.57421875" style="0" bestFit="1" customWidth="1"/>
  </cols>
  <sheetData>
    <row r="1" spans="1:7" ht="12.75">
      <c r="A1" s="1" t="s">
        <v>0</v>
      </c>
      <c r="B1" s="2" t="s">
        <v>1</v>
      </c>
      <c r="C1" s="1" t="s">
        <v>53</v>
      </c>
      <c r="D1" s="1"/>
      <c r="E1" s="1" t="s">
        <v>2</v>
      </c>
      <c r="F1" s="3">
        <v>5</v>
      </c>
      <c r="G1">
        <v>2016</v>
      </c>
    </row>
    <row r="3" spans="1:5" ht="12.75">
      <c r="A3" t="s">
        <v>3</v>
      </c>
      <c r="D3" s="4">
        <v>3174.73</v>
      </c>
      <c r="E3" s="5" t="s">
        <v>40</v>
      </c>
    </row>
    <row r="4" spans="1:5" ht="12.75">
      <c r="A4" t="s">
        <v>4</v>
      </c>
      <c r="D4" s="4">
        <v>61</v>
      </c>
      <c r="E4" s="5"/>
    </row>
    <row r="5" spans="1:5" ht="12.75">
      <c r="A5" t="s">
        <v>5</v>
      </c>
      <c r="D5" s="4">
        <v>130</v>
      </c>
      <c r="E5" s="5" t="s">
        <v>6</v>
      </c>
    </row>
    <row r="6" spans="1:5" ht="12.75">
      <c r="A6" t="s">
        <v>7</v>
      </c>
      <c r="D6" s="4">
        <v>382.5</v>
      </c>
      <c r="E6" s="5" t="s">
        <v>40</v>
      </c>
    </row>
    <row r="7" spans="1:5" ht="12.75">
      <c r="A7" t="s">
        <v>8</v>
      </c>
      <c r="D7" s="4">
        <v>1169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729628.9099999999</v>
      </c>
      <c r="C11" s="8">
        <f>SUM(C12:C23)</f>
        <v>716459.0600000002</v>
      </c>
      <c r="D11" s="8">
        <f>SUM(D12:D23)</f>
        <v>13169.849999999999</v>
      </c>
    </row>
    <row r="12" spans="1:4" ht="12.75">
      <c r="A12" s="9" t="s">
        <v>25</v>
      </c>
      <c r="B12" s="8">
        <v>61738.83</v>
      </c>
      <c r="C12" s="8">
        <v>62805.5</v>
      </c>
      <c r="D12" s="8">
        <f aca="true" t="shared" si="0" ref="D12:D23">B12-C12</f>
        <v>-1066.6699999999983</v>
      </c>
    </row>
    <row r="13" spans="1:4" ht="12.75">
      <c r="A13" s="9" t="s">
        <v>13</v>
      </c>
      <c r="B13" s="8">
        <v>61738.83</v>
      </c>
      <c r="C13" s="13">
        <v>59495.83</v>
      </c>
      <c r="D13" s="8">
        <f t="shared" si="0"/>
        <v>2243</v>
      </c>
    </row>
    <row r="14" spans="1:4" ht="12.75">
      <c r="A14" s="9" t="s">
        <v>14</v>
      </c>
      <c r="B14" s="8">
        <f>61738.83-11237.05</f>
        <v>50501.78</v>
      </c>
      <c r="C14" s="13">
        <v>57335.53</v>
      </c>
      <c r="D14" s="8">
        <f t="shared" si="0"/>
        <v>-6833.75</v>
      </c>
    </row>
    <row r="15" spans="1:4" ht="12.75">
      <c r="A15" s="9" t="s">
        <v>15</v>
      </c>
      <c r="B15" s="8">
        <v>61738.83</v>
      </c>
      <c r="C15" s="13">
        <v>57695.16</v>
      </c>
      <c r="D15" s="8">
        <f t="shared" si="0"/>
        <v>4043.6699999999983</v>
      </c>
    </row>
    <row r="16" spans="1:4" ht="12.75">
      <c r="A16" s="9" t="s">
        <v>16</v>
      </c>
      <c r="B16" s="8">
        <v>61738.83</v>
      </c>
      <c r="C16" s="13">
        <v>52562.12</v>
      </c>
      <c r="D16" s="8">
        <f t="shared" si="0"/>
        <v>9176.71</v>
      </c>
    </row>
    <row r="17" spans="1:4" ht="12.75">
      <c r="A17" s="9" t="s">
        <v>17</v>
      </c>
      <c r="B17" s="8">
        <v>61738.83</v>
      </c>
      <c r="C17" s="13">
        <v>56488.33</v>
      </c>
      <c r="D17" s="8">
        <f t="shared" si="0"/>
        <v>5250.5</v>
      </c>
    </row>
    <row r="18" spans="1:4" ht="12.75">
      <c r="A18" s="9" t="s">
        <v>18</v>
      </c>
      <c r="B18" s="8">
        <v>61738.83</v>
      </c>
      <c r="C18" s="13">
        <v>54898.32</v>
      </c>
      <c r="D18" s="8">
        <f t="shared" si="0"/>
        <v>6840.510000000002</v>
      </c>
    </row>
    <row r="19" spans="1:4" ht="12.75">
      <c r="A19" s="9" t="s">
        <v>19</v>
      </c>
      <c r="B19" s="8">
        <v>61738.83</v>
      </c>
      <c r="C19" s="13">
        <v>64963.36</v>
      </c>
      <c r="D19" s="8">
        <f t="shared" si="0"/>
        <v>-3224.529999999999</v>
      </c>
    </row>
    <row r="20" spans="1:4" ht="12.75">
      <c r="A20" s="9" t="s">
        <v>20</v>
      </c>
      <c r="B20" s="8">
        <v>61738.83</v>
      </c>
      <c r="C20" s="13">
        <v>64824.05</v>
      </c>
      <c r="D20" s="8">
        <f t="shared" si="0"/>
        <v>-3085.220000000001</v>
      </c>
    </row>
    <row r="21" spans="1:4" ht="12.75">
      <c r="A21" s="9" t="s">
        <v>21</v>
      </c>
      <c r="B21" s="8">
        <v>61738.83</v>
      </c>
      <c r="C21" s="13">
        <v>58922.91</v>
      </c>
      <c r="D21" s="13">
        <f t="shared" si="0"/>
        <v>2815.9199999999983</v>
      </c>
    </row>
    <row r="22" spans="1:4" ht="12.75">
      <c r="A22" s="9" t="s">
        <v>22</v>
      </c>
      <c r="B22" s="8">
        <v>61738.83</v>
      </c>
      <c r="C22" s="13">
        <v>65340.66</v>
      </c>
      <c r="D22" s="13">
        <f t="shared" si="0"/>
        <v>-3601.8300000000017</v>
      </c>
    </row>
    <row r="23" spans="1:4" ht="12.75">
      <c r="A23" s="9" t="s">
        <v>23</v>
      </c>
      <c r="B23" s="8">
        <v>61738.83</v>
      </c>
      <c r="C23" s="13">
        <v>61127.29</v>
      </c>
      <c r="D23" s="13">
        <f t="shared" si="0"/>
        <v>611.5400000000009</v>
      </c>
    </row>
    <row r="24" spans="1:4" ht="12.75">
      <c r="A24" s="7" t="s">
        <v>24</v>
      </c>
      <c r="B24" s="8">
        <f>SUM(B25:B36)</f>
        <v>30.11999999999999</v>
      </c>
      <c r="C24" s="8">
        <f>SUM(C25:C36)</f>
        <v>20.09</v>
      </c>
      <c r="D24" s="8">
        <f>SUM(D25:D36)</f>
        <v>10.03</v>
      </c>
    </row>
    <row r="25" spans="1:4" ht="12.75">
      <c r="A25" s="9" t="s">
        <v>25</v>
      </c>
      <c r="B25" s="8">
        <v>2.51</v>
      </c>
      <c r="C25" s="8">
        <v>0</v>
      </c>
      <c r="D25" s="8">
        <f aca="true" t="shared" si="1" ref="D25:D34">B25-C25</f>
        <v>2.51</v>
      </c>
    </row>
    <row r="26" spans="1:4" ht="12.75">
      <c r="A26" s="9" t="s">
        <v>13</v>
      </c>
      <c r="B26" s="8">
        <v>2.51</v>
      </c>
      <c r="C26" s="8">
        <v>0</v>
      </c>
      <c r="D26" s="8">
        <f t="shared" si="1"/>
        <v>2.51</v>
      </c>
    </row>
    <row r="27" spans="1:4" ht="12.75">
      <c r="A27" s="9" t="s">
        <v>14</v>
      </c>
      <c r="B27" s="8">
        <v>2.51</v>
      </c>
      <c r="C27" s="13">
        <v>0.94</v>
      </c>
      <c r="D27" s="8">
        <f t="shared" si="1"/>
        <v>1.5699999999999998</v>
      </c>
    </row>
    <row r="28" spans="1:4" ht="12.75">
      <c r="A28" s="9" t="s">
        <v>15</v>
      </c>
      <c r="B28" s="8">
        <v>2.51</v>
      </c>
      <c r="C28" s="13">
        <v>0</v>
      </c>
      <c r="D28" s="8">
        <f t="shared" si="1"/>
        <v>2.51</v>
      </c>
    </row>
    <row r="29" spans="1:4" ht="12.75">
      <c r="A29" s="9" t="s">
        <v>16</v>
      </c>
      <c r="B29" s="8">
        <v>2.51</v>
      </c>
      <c r="C29" s="13">
        <v>0</v>
      </c>
      <c r="D29" s="8">
        <f t="shared" si="1"/>
        <v>2.51</v>
      </c>
    </row>
    <row r="30" spans="1:4" ht="12.75">
      <c r="A30" s="9" t="s">
        <v>17</v>
      </c>
      <c r="B30" s="8">
        <v>2.51</v>
      </c>
      <c r="C30" s="13">
        <v>0</v>
      </c>
      <c r="D30" s="8">
        <f t="shared" si="1"/>
        <v>2.51</v>
      </c>
    </row>
    <row r="31" spans="1:4" ht="12.75">
      <c r="A31" s="9" t="s">
        <v>18</v>
      </c>
      <c r="B31" s="8">
        <v>2.51</v>
      </c>
      <c r="C31" s="13">
        <v>0</v>
      </c>
      <c r="D31" s="8">
        <f t="shared" si="1"/>
        <v>2.51</v>
      </c>
    </row>
    <row r="32" spans="1:4" ht="12.75">
      <c r="A32" s="9" t="s">
        <v>19</v>
      </c>
      <c r="B32" s="8">
        <v>2.51</v>
      </c>
      <c r="C32" s="13">
        <v>0</v>
      </c>
      <c r="D32" s="8">
        <f t="shared" si="1"/>
        <v>2.51</v>
      </c>
    </row>
    <row r="33" spans="1:4" ht="12.75">
      <c r="A33" s="9" t="s">
        <v>20</v>
      </c>
      <c r="B33" s="8">
        <v>2.51</v>
      </c>
      <c r="C33" s="13">
        <v>5.03</v>
      </c>
      <c r="D33" s="8">
        <f t="shared" si="1"/>
        <v>-2.5200000000000005</v>
      </c>
    </row>
    <row r="34" spans="1:4" ht="12.75">
      <c r="A34" s="9" t="s">
        <v>21</v>
      </c>
      <c r="B34" s="8">
        <v>2.51</v>
      </c>
      <c r="C34" s="13">
        <v>5.13</v>
      </c>
      <c r="D34" s="13">
        <f t="shared" si="1"/>
        <v>-2.62</v>
      </c>
    </row>
    <row r="35" spans="1:4" ht="12.75">
      <c r="A35" s="9" t="s">
        <v>22</v>
      </c>
      <c r="B35" s="8">
        <v>2.51</v>
      </c>
      <c r="C35" s="13">
        <v>5.26</v>
      </c>
      <c r="D35" s="13">
        <f>B35-C35</f>
        <v>-2.75</v>
      </c>
    </row>
    <row r="36" spans="1:4" ht="12.75">
      <c r="A36" s="9" t="s">
        <v>23</v>
      </c>
      <c r="B36" s="8">
        <v>2.51</v>
      </c>
      <c r="C36" s="13">
        <v>3.73</v>
      </c>
      <c r="D36" s="13">
        <f>B36-C36</f>
        <v>-1.2200000000000002</v>
      </c>
    </row>
    <row r="37" spans="1:4" ht="12.75">
      <c r="A37" s="9" t="s">
        <v>26</v>
      </c>
      <c r="B37" s="8">
        <f>B11+B24</f>
        <v>729659.0299999999</v>
      </c>
      <c r="C37" s="8">
        <f>C11+C24</f>
        <v>716479.1500000001</v>
      </c>
      <c r="D37" s="8">
        <f>D11+D24</f>
        <v>13179.88</v>
      </c>
    </row>
    <row r="38" ht="12.75">
      <c r="F38" s="20"/>
    </row>
    <row r="39" spans="1:4" ht="12.75">
      <c r="A39" t="s">
        <v>27</v>
      </c>
      <c r="D39" s="12">
        <f>D37</f>
        <v>13179.88</v>
      </c>
    </row>
    <row r="41" spans="1:4" ht="12.75">
      <c r="A41" s="11" t="s">
        <v>28</v>
      </c>
      <c r="D41" s="12">
        <f>D42+D43</f>
        <v>99432.5436</v>
      </c>
    </row>
    <row r="42" spans="1:4" ht="12.75" hidden="1">
      <c r="A42" s="11" t="s">
        <v>29</v>
      </c>
      <c r="D42" s="12">
        <f>(2.37*12*D3)</f>
        <v>90289.3212</v>
      </c>
    </row>
    <row r="43" spans="1:4" ht="12.75" hidden="1">
      <c r="A43" s="11" t="s">
        <v>30</v>
      </c>
      <c r="D43" s="12">
        <f>0.24*12*D3</f>
        <v>9143.2224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1343*2.5+(1343*0.22*4)</f>
        <v>4539.34</v>
      </c>
    </row>
    <row r="46" spans="1:5" ht="12.75">
      <c r="A46" s="11" t="s">
        <v>80</v>
      </c>
      <c r="D46" s="12">
        <f>(2.99*12*D3)</f>
        <v>113909.31240000001</v>
      </c>
      <c r="E46" s="12"/>
    </row>
    <row r="47" spans="1:4" ht="12.75" customHeight="1" hidden="1">
      <c r="A47" s="11" t="s">
        <v>32</v>
      </c>
      <c r="D47" s="12">
        <v>0</v>
      </c>
    </row>
    <row r="48" spans="1:4" ht="12.75" customHeight="1" hidden="1">
      <c r="A48" s="11" t="s">
        <v>76</v>
      </c>
      <c r="D48" s="12"/>
    </row>
    <row r="49" spans="1:4" ht="12.75">
      <c r="A49" s="11" t="s">
        <v>79</v>
      </c>
      <c r="D49" s="12">
        <f>(3.15*12*D3)</f>
        <v>120004.794</v>
      </c>
    </row>
    <row r="50" spans="1:4" ht="12.75" customHeight="1" hidden="1">
      <c r="A50" s="11" t="s">
        <v>34</v>
      </c>
      <c r="D50">
        <v>0</v>
      </c>
    </row>
    <row r="51" spans="1:6" ht="12.75">
      <c r="A51" s="11" t="s">
        <v>35</v>
      </c>
      <c r="D51" s="12">
        <f>(0.37*12*D3)</f>
        <v>14095.801199999998</v>
      </c>
      <c r="F51" s="18"/>
    </row>
    <row r="52" spans="1:4" ht="12.75">
      <c r="A52" s="11" t="s">
        <v>75</v>
      </c>
      <c r="D52" s="12">
        <f>(0.9*12*D3)</f>
        <v>34287.084</v>
      </c>
    </row>
    <row r="53" spans="1:4" ht="12.75">
      <c r="A53" s="11" t="s">
        <v>36</v>
      </c>
      <c r="D53" s="12">
        <f>2.25*12*D4</f>
        <v>1647</v>
      </c>
    </row>
    <row r="54" spans="1:4" ht="12.75">
      <c r="A54" s="11" t="s">
        <v>37</v>
      </c>
      <c r="D54" s="12">
        <v>7838</v>
      </c>
    </row>
    <row r="55" spans="1:4" ht="12.75" customHeight="1" hidden="1">
      <c r="A55" s="11" t="s">
        <v>38</v>
      </c>
      <c r="D55" s="12">
        <v>0</v>
      </c>
    </row>
    <row r="56" spans="1:4" ht="12.75" hidden="1">
      <c r="A56" s="14" t="s">
        <v>62</v>
      </c>
      <c r="D56" s="12"/>
    </row>
    <row r="57" spans="1:4" ht="12.75">
      <c r="A57" s="11"/>
      <c r="D57" s="12"/>
    </row>
    <row r="58" spans="1:4" ht="12.75">
      <c r="A58" s="11" t="s">
        <v>39</v>
      </c>
      <c r="D58" s="12">
        <f>D41+D44+D46+D47+D49+D51+D52+D53+D54+D55+D45</f>
        <v>395753.87520000007</v>
      </c>
    </row>
    <row r="59" spans="1:4" ht="12.75">
      <c r="A59" s="11"/>
      <c r="D59" s="12"/>
    </row>
    <row r="60" spans="1:4" ht="12.75">
      <c r="A60" t="s">
        <v>65</v>
      </c>
      <c r="D60" s="12">
        <f>C37-D58</f>
        <v>320725.2748000001</v>
      </c>
    </row>
    <row r="62" ht="12.75">
      <c r="A62" s="11"/>
    </row>
    <row r="69" ht="12.75">
      <c r="A69" s="16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G61"/>
  <sheetViews>
    <sheetView zoomScalePageLayoutView="0" workbookViewId="0" topLeftCell="A28">
      <selection activeCell="D57" sqref="D57"/>
    </sheetView>
  </sheetViews>
  <sheetFormatPr defaultColWidth="9.140625" defaultRowHeight="12.75"/>
  <cols>
    <col min="1" max="1" width="14.00390625" style="0" customWidth="1"/>
    <col min="2" max="2" width="13.7109375" style="0" customWidth="1"/>
    <col min="3" max="3" width="14.421875" style="0" customWidth="1"/>
    <col min="4" max="4" width="13.28125" style="0" customWidth="1"/>
    <col min="5" max="5" width="5.8515625" style="0" customWidth="1"/>
    <col min="6" max="6" width="5.421875" style="0" customWidth="1"/>
  </cols>
  <sheetData>
    <row r="1" spans="1:7" ht="12.75">
      <c r="A1" s="1" t="s">
        <v>0</v>
      </c>
      <c r="B1" s="2" t="s">
        <v>1</v>
      </c>
      <c r="C1" s="1" t="s">
        <v>53</v>
      </c>
      <c r="D1" s="1"/>
      <c r="E1" s="1" t="s">
        <v>2</v>
      </c>
      <c r="F1" s="3" t="s">
        <v>51</v>
      </c>
      <c r="G1">
        <v>2016</v>
      </c>
    </row>
    <row r="3" spans="1:5" ht="12.75">
      <c r="A3" t="s">
        <v>3</v>
      </c>
      <c r="D3" s="4">
        <v>1555.7</v>
      </c>
      <c r="E3" s="5" t="s">
        <v>40</v>
      </c>
    </row>
    <row r="4" spans="1:5" ht="12.75">
      <c r="A4" t="s">
        <v>4</v>
      </c>
      <c r="D4" s="4">
        <v>27</v>
      </c>
      <c r="E4" s="5"/>
    </row>
    <row r="5" spans="1:5" ht="12.75">
      <c r="A5" t="s">
        <v>5</v>
      </c>
      <c r="D5" s="4">
        <v>65</v>
      </c>
      <c r="E5" s="5" t="s">
        <v>6</v>
      </c>
    </row>
    <row r="6" spans="1:5" ht="12.75">
      <c r="A6" t="s">
        <v>7</v>
      </c>
      <c r="D6" s="4">
        <v>121.2</v>
      </c>
      <c r="E6" s="5" t="s">
        <v>40</v>
      </c>
    </row>
    <row r="7" spans="1:5" ht="12.75">
      <c r="A7" t="s">
        <v>8</v>
      </c>
      <c r="D7" s="4">
        <v>4123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385860.95</v>
      </c>
      <c r="C11" s="8">
        <f>SUM(C12:C23)</f>
        <v>385518.99999999994</v>
      </c>
      <c r="D11" s="8">
        <f>SUM(D12:D23)</f>
        <v>341.95000000001164</v>
      </c>
    </row>
    <row r="12" spans="1:4" ht="12.75">
      <c r="A12" s="9" t="s">
        <v>25</v>
      </c>
      <c r="B12" s="8">
        <v>31207.36</v>
      </c>
      <c r="C12" s="8">
        <v>29152.9</v>
      </c>
      <c r="D12" s="8">
        <f aca="true" t="shared" si="0" ref="D12:D23">B12-C12</f>
        <v>2054.459999999999</v>
      </c>
    </row>
    <row r="13" spans="1:4" ht="12.75">
      <c r="A13" s="9" t="s">
        <v>13</v>
      </c>
      <c r="B13" s="8">
        <v>31207.36</v>
      </c>
      <c r="C13" s="13">
        <v>31780.96</v>
      </c>
      <c r="D13" s="8">
        <f t="shared" si="0"/>
        <v>-573.5999999999985</v>
      </c>
    </row>
    <row r="14" spans="1:4" ht="12.75">
      <c r="A14" s="9" t="s">
        <v>14</v>
      </c>
      <c r="B14" s="8">
        <v>31207.36</v>
      </c>
      <c r="C14" s="13">
        <v>30566.25</v>
      </c>
      <c r="D14" s="8">
        <f t="shared" si="0"/>
        <v>641.1100000000006</v>
      </c>
    </row>
    <row r="15" spans="1:4" ht="12.75">
      <c r="A15" s="9" t="s">
        <v>15</v>
      </c>
      <c r="B15" s="8">
        <v>31207.36</v>
      </c>
      <c r="C15" s="13">
        <v>29992.29</v>
      </c>
      <c r="D15" s="8">
        <f t="shared" si="0"/>
        <v>1215.0699999999997</v>
      </c>
    </row>
    <row r="16" spans="1:4" ht="12.75">
      <c r="A16" s="9" t="s">
        <v>16</v>
      </c>
      <c r="B16" s="8">
        <f>31207.36-1072.97</f>
        <v>30134.39</v>
      </c>
      <c r="C16" s="13">
        <v>30151.65</v>
      </c>
      <c r="D16" s="8">
        <f t="shared" si="0"/>
        <v>-17.260000000002037</v>
      </c>
    </row>
    <row r="17" spans="1:4" ht="12.75">
      <c r="A17" s="9" t="s">
        <v>17</v>
      </c>
      <c r="B17" s="8">
        <v>31207.36</v>
      </c>
      <c r="C17" s="13">
        <v>30496.15</v>
      </c>
      <c r="D17" s="8">
        <f t="shared" si="0"/>
        <v>711.2099999999991</v>
      </c>
    </row>
    <row r="18" spans="1:4" ht="12.75">
      <c r="A18" s="9" t="s">
        <v>18</v>
      </c>
      <c r="B18" s="8">
        <v>31207.36</v>
      </c>
      <c r="C18" s="13">
        <v>29375.88</v>
      </c>
      <c r="D18" s="8">
        <f t="shared" si="0"/>
        <v>1831.4799999999996</v>
      </c>
    </row>
    <row r="19" spans="1:4" ht="12.75">
      <c r="A19" s="9" t="s">
        <v>19</v>
      </c>
      <c r="B19" s="8">
        <v>31207.36</v>
      </c>
      <c r="C19" s="13">
        <v>29171.2</v>
      </c>
      <c r="D19" s="8">
        <f t="shared" si="0"/>
        <v>2036.1599999999999</v>
      </c>
    </row>
    <row r="20" spans="1:4" ht="12.75">
      <c r="A20" s="9" t="s">
        <v>20</v>
      </c>
      <c r="B20" s="13">
        <v>34318.76</v>
      </c>
      <c r="C20" s="13">
        <v>39466.2</v>
      </c>
      <c r="D20" s="8">
        <f t="shared" si="0"/>
        <v>-5147.439999999995</v>
      </c>
    </row>
    <row r="21" spans="1:4" ht="12.75">
      <c r="A21" s="9" t="s">
        <v>21</v>
      </c>
      <c r="B21" s="13">
        <v>34318.76</v>
      </c>
      <c r="C21" s="13">
        <v>38345.93</v>
      </c>
      <c r="D21" s="13">
        <f t="shared" si="0"/>
        <v>-4027.1699999999983</v>
      </c>
    </row>
    <row r="22" spans="1:4" ht="12.75">
      <c r="A22" s="9" t="s">
        <v>22</v>
      </c>
      <c r="B22" s="13">
        <v>34318.76</v>
      </c>
      <c r="C22" s="13">
        <v>33507.92</v>
      </c>
      <c r="D22" s="13">
        <f t="shared" si="0"/>
        <v>810.8400000000038</v>
      </c>
    </row>
    <row r="23" spans="1:4" ht="12.75">
      <c r="A23" s="9" t="s">
        <v>23</v>
      </c>
      <c r="B23" s="13">
        <v>34318.76</v>
      </c>
      <c r="C23" s="13">
        <v>33511.67</v>
      </c>
      <c r="D23" s="13">
        <f t="shared" si="0"/>
        <v>807.0900000000038</v>
      </c>
    </row>
    <row r="24" spans="1:4" ht="12.75">
      <c r="A24" s="7" t="s">
        <v>24</v>
      </c>
      <c r="B24" s="8">
        <f>SUM(B25:B36)</f>
        <v>137.87999999999997</v>
      </c>
      <c r="C24" s="8">
        <f>SUM(C25:C36)</f>
        <v>139.88</v>
      </c>
      <c r="D24" s="8">
        <f>SUM(D25:D36)</f>
        <v>-2</v>
      </c>
    </row>
    <row r="25" spans="1:4" ht="12.75">
      <c r="A25" s="9" t="s">
        <v>25</v>
      </c>
      <c r="B25" s="8">
        <v>11.49</v>
      </c>
      <c r="C25" s="8">
        <v>11.47</v>
      </c>
      <c r="D25" s="8">
        <f aca="true" t="shared" si="1" ref="D25:D36">B25-C25</f>
        <v>0.019999999999999574</v>
      </c>
    </row>
    <row r="26" spans="1:4" ht="12.75">
      <c r="A26" s="9" t="s">
        <v>13</v>
      </c>
      <c r="B26" s="8">
        <v>11.49</v>
      </c>
      <c r="C26" s="8">
        <v>11.53</v>
      </c>
      <c r="D26" s="8">
        <f t="shared" si="1"/>
        <v>-0.03999999999999915</v>
      </c>
    </row>
    <row r="27" spans="1:4" ht="12.75">
      <c r="A27" s="9" t="s">
        <v>14</v>
      </c>
      <c r="B27" s="8">
        <v>11.49</v>
      </c>
      <c r="C27" s="8">
        <v>11.82</v>
      </c>
      <c r="D27" s="8">
        <f t="shared" si="1"/>
        <v>-0.33000000000000007</v>
      </c>
    </row>
    <row r="28" spans="1:4" ht="12.75">
      <c r="A28" s="9" t="s">
        <v>15</v>
      </c>
      <c r="B28" s="8">
        <v>11.49</v>
      </c>
      <c r="C28" s="8">
        <v>11.82</v>
      </c>
      <c r="D28" s="8">
        <f t="shared" si="1"/>
        <v>-0.33000000000000007</v>
      </c>
    </row>
    <row r="29" spans="1:4" ht="12.75">
      <c r="A29" s="9" t="s">
        <v>16</v>
      </c>
      <c r="B29" s="8">
        <v>11.49</v>
      </c>
      <c r="C29" s="8">
        <v>11.82</v>
      </c>
      <c r="D29" s="8">
        <f t="shared" si="1"/>
        <v>-0.33000000000000007</v>
      </c>
    </row>
    <row r="30" spans="1:4" ht="12.75">
      <c r="A30" s="9" t="s">
        <v>17</v>
      </c>
      <c r="B30" s="8">
        <v>11.49</v>
      </c>
      <c r="C30" s="8">
        <v>11.84</v>
      </c>
      <c r="D30" s="8">
        <f t="shared" si="1"/>
        <v>-0.34999999999999964</v>
      </c>
    </row>
    <row r="31" spans="1:4" ht="12.75">
      <c r="A31" s="9" t="s">
        <v>18</v>
      </c>
      <c r="B31" s="8">
        <v>11.49</v>
      </c>
      <c r="C31" s="8">
        <v>12.13</v>
      </c>
      <c r="D31" s="8">
        <f t="shared" si="1"/>
        <v>-0.6400000000000006</v>
      </c>
    </row>
    <row r="32" spans="1:4" ht="12.75">
      <c r="A32" s="9" t="s">
        <v>19</v>
      </c>
      <c r="B32" s="8">
        <v>11.49</v>
      </c>
      <c r="C32" s="8">
        <v>11.49</v>
      </c>
      <c r="D32" s="8">
        <f t="shared" si="1"/>
        <v>0</v>
      </c>
    </row>
    <row r="33" spans="1:4" ht="12.75">
      <c r="A33" s="9" t="s">
        <v>20</v>
      </c>
      <c r="B33" s="8">
        <v>11.49</v>
      </c>
      <c r="C33" s="8">
        <v>11.49</v>
      </c>
      <c r="D33" s="8">
        <f t="shared" si="1"/>
        <v>0</v>
      </c>
    </row>
    <row r="34" spans="1:4" ht="12.75">
      <c r="A34" s="9" t="s">
        <v>21</v>
      </c>
      <c r="B34" s="8">
        <v>11.49</v>
      </c>
      <c r="C34" s="8">
        <v>11.49</v>
      </c>
      <c r="D34" s="13">
        <f t="shared" si="1"/>
        <v>0</v>
      </c>
    </row>
    <row r="35" spans="1:4" ht="12.75">
      <c r="A35" s="9" t="s">
        <v>22</v>
      </c>
      <c r="B35" s="8">
        <v>11.49</v>
      </c>
      <c r="C35" s="8">
        <v>11.49</v>
      </c>
      <c r="D35" s="13">
        <f t="shared" si="1"/>
        <v>0</v>
      </c>
    </row>
    <row r="36" spans="1:4" ht="12.75">
      <c r="A36" s="9" t="s">
        <v>23</v>
      </c>
      <c r="B36" s="8">
        <v>11.49</v>
      </c>
      <c r="C36" s="8">
        <v>11.49</v>
      </c>
      <c r="D36" s="13">
        <f t="shared" si="1"/>
        <v>0</v>
      </c>
    </row>
    <row r="37" spans="1:4" ht="12.75">
      <c r="A37" s="9" t="s">
        <v>26</v>
      </c>
      <c r="B37" s="8">
        <f>B11+B24</f>
        <v>385998.83</v>
      </c>
      <c r="C37" s="8">
        <f>C11+C24</f>
        <v>385658.87999999995</v>
      </c>
      <c r="D37" s="8">
        <f>D11+D24</f>
        <v>339.95000000001164</v>
      </c>
    </row>
    <row r="39" spans="1:4" ht="12.75">
      <c r="A39" t="s">
        <v>27</v>
      </c>
      <c r="D39" s="12">
        <f>D37</f>
        <v>339.95000000001164</v>
      </c>
    </row>
    <row r="41" spans="1:4" ht="12.75">
      <c r="A41" s="11" t="s">
        <v>28</v>
      </c>
      <c r="D41" s="12">
        <f>D42+D43</f>
        <v>27815.916</v>
      </c>
    </row>
    <row r="42" spans="1:4" ht="12.75" hidden="1">
      <c r="A42" s="11" t="s">
        <v>29</v>
      </c>
      <c r="D42" s="12">
        <f>(1.33*4*D3)+(1.21*8*D3)</f>
        <v>23335.5</v>
      </c>
    </row>
    <row r="43" spans="1:4" ht="12.75" hidden="1">
      <c r="A43" s="11" t="s">
        <v>30</v>
      </c>
      <c r="D43" s="12">
        <f>(0.24*12*D3)</f>
        <v>4480.416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773.7*0.22*4+(773.7*2.5)</f>
        <v>2615.1059999999998</v>
      </c>
    </row>
    <row r="46" spans="1:4" ht="12.75">
      <c r="A46" s="11" t="s">
        <v>80</v>
      </c>
      <c r="D46" s="12">
        <f>(2.66*4*D3)+(2.42*8*D3)</f>
        <v>46671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3360.3120000000004</v>
      </c>
    </row>
    <row r="49" spans="1:4" ht="12.75">
      <c r="A49" s="11" t="s">
        <v>33</v>
      </c>
      <c r="D49" s="12">
        <f>(1.45*4*D3)+(1.32*8*D3)</f>
        <v>25451.252</v>
      </c>
    </row>
    <row r="50" spans="1:4" ht="12.75">
      <c r="A50" s="11" t="s">
        <v>34</v>
      </c>
      <c r="D50" s="12">
        <f>(4.94*4*D3)+(4.51*8*D3)</f>
        <v>86870.288</v>
      </c>
    </row>
    <row r="51" spans="1:4" ht="12.75">
      <c r="A51" s="11" t="s">
        <v>35</v>
      </c>
      <c r="D51" s="12">
        <f>(0.29*4*D3)+(0.26*8*D3)</f>
        <v>5040.468</v>
      </c>
    </row>
    <row r="52" spans="1:4" ht="12.75">
      <c r="A52" s="11" t="s">
        <v>78</v>
      </c>
      <c r="D52" s="12">
        <f>(3.87*4*D3)+(3.52*8*D3)</f>
        <v>67890.748</v>
      </c>
    </row>
    <row r="53" spans="1:4" ht="12.75">
      <c r="A53" s="11" t="s">
        <v>36</v>
      </c>
      <c r="D53" s="12">
        <f>2.25*12*D4</f>
        <v>729</v>
      </c>
    </row>
    <row r="54" spans="1:4" ht="12.75">
      <c r="A54" s="11" t="s">
        <v>37</v>
      </c>
      <c r="D54" s="12">
        <v>336414</v>
      </c>
    </row>
    <row r="55" spans="1:4" ht="12.75">
      <c r="A55" s="11" t="s">
        <v>38</v>
      </c>
      <c r="D55" s="12">
        <f>(0.91*4*D3)+(0.83*8*D3)</f>
        <v>15992.596000000001</v>
      </c>
    </row>
    <row r="56" spans="1:4" ht="12.75">
      <c r="A56" s="11"/>
      <c r="D56" s="12"/>
    </row>
    <row r="57" spans="1:4" ht="12.75">
      <c r="A57" s="11" t="s">
        <v>39</v>
      </c>
      <c r="D57" s="12">
        <f>D41+D44+D45+D46+D47+D48+D49+D50+D51+D52+D53+D54+D55+D56</f>
        <v>618850.6860000001</v>
      </c>
    </row>
    <row r="58" ht="12.75">
      <c r="A58" s="11"/>
    </row>
    <row r="59" spans="1:4" ht="12.75">
      <c r="A59" t="s">
        <v>69</v>
      </c>
      <c r="D59" s="12">
        <f>C37-D57</f>
        <v>-233191.80600000016</v>
      </c>
    </row>
    <row r="61" ht="12.75">
      <c r="A61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G59"/>
  <sheetViews>
    <sheetView workbookViewId="0" topLeftCell="A22">
      <selection activeCell="D48" sqref="D48"/>
    </sheetView>
  </sheetViews>
  <sheetFormatPr defaultColWidth="9.140625" defaultRowHeight="12.75"/>
  <cols>
    <col min="1" max="1" width="14.00390625" style="0" customWidth="1"/>
    <col min="2" max="2" width="13.7109375" style="0" customWidth="1"/>
    <col min="3" max="3" width="14.421875" style="0" customWidth="1"/>
    <col min="4" max="4" width="13.28125" style="0" customWidth="1"/>
    <col min="5" max="5" width="5.8515625" style="0" customWidth="1"/>
    <col min="6" max="6" width="5.421875" style="0" customWidth="1"/>
  </cols>
  <sheetData>
    <row r="1" spans="1:7" ht="12.75">
      <c r="A1" s="1" t="s">
        <v>0</v>
      </c>
      <c r="B1" s="2" t="s">
        <v>1</v>
      </c>
      <c r="C1" s="1" t="s">
        <v>53</v>
      </c>
      <c r="D1" s="1"/>
      <c r="E1" s="1" t="s">
        <v>2</v>
      </c>
      <c r="F1" s="3">
        <v>7</v>
      </c>
      <c r="G1">
        <v>2016</v>
      </c>
    </row>
    <row r="3" spans="1:5" ht="12.75">
      <c r="A3" t="s">
        <v>3</v>
      </c>
      <c r="D3" s="4">
        <v>928.2</v>
      </c>
      <c r="E3" s="4" t="s">
        <v>83</v>
      </c>
    </row>
    <row r="4" spans="1:5" ht="12.75">
      <c r="A4" t="s">
        <v>4</v>
      </c>
      <c r="D4" s="4">
        <v>18</v>
      </c>
      <c r="E4" s="4"/>
    </row>
    <row r="5" spans="1:5" ht="12.75">
      <c r="A5" t="s">
        <v>5</v>
      </c>
      <c r="D5" s="4">
        <v>42</v>
      </c>
      <c r="E5" s="4" t="s">
        <v>6</v>
      </c>
    </row>
    <row r="6" spans="1:5" ht="12.75">
      <c r="A6" t="s">
        <v>7</v>
      </c>
      <c r="D6" s="4">
        <v>66</v>
      </c>
      <c r="E6" s="4" t="s">
        <v>83</v>
      </c>
    </row>
    <row r="7" spans="1:5" ht="12.75">
      <c r="A7" t="s">
        <v>8</v>
      </c>
      <c r="D7" s="4">
        <v>2592</v>
      </c>
      <c r="E7" s="4" t="s">
        <v>83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230862.11999999994</v>
      </c>
      <c r="C11" s="8">
        <f>SUM(C12:C23)</f>
        <v>229514.38</v>
      </c>
      <c r="D11" s="8">
        <f>SUM(D12:D23)</f>
        <v>1347.7400000000002</v>
      </c>
    </row>
    <row r="12" spans="1:4" ht="12.75">
      <c r="A12" s="9" t="s">
        <v>25</v>
      </c>
      <c r="B12" s="8">
        <v>18619.71</v>
      </c>
      <c r="C12" s="8">
        <v>20353.36</v>
      </c>
      <c r="D12" s="8">
        <v>-1733.65</v>
      </c>
    </row>
    <row r="13" spans="1:4" ht="12.75">
      <c r="A13" s="9" t="s">
        <v>13</v>
      </c>
      <c r="B13" s="8">
        <v>18619.71</v>
      </c>
      <c r="C13" s="13">
        <v>16808.22</v>
      </c>
      <c r="D13" s="8">
        <v>1811.49</v>
      </c>
    </row>
    <row r="14" spans="1:4" ht="12.75">
      <c r="A14" s="9" t="s">
        <v>14</v>
      </c>
      <c r="B14" s="8">
        <v>18619.71</v>
      </c>
      <c r="C14" s="13">
        <v>16646.43</v>
      </c>
      <c r="D14" s="8">
        <v>1973.28</v>
      </c>
    </row>
    <row r="15" spans="1:4" ht="12.75">
      <c r="A15" s="9" t="s">
        <v>15</v>
      </c>
      <c r="B15" s="8">
        <v>18619.71</v>
      </c>
      <c r="C15" s="13">
        <v>19567.23</v>
      </c>
      <c r="D15" s="8">
        <v>-947.52</v>
      </c>
    </row>
    <row r="16" spans="1:4" ht="12.75">
      <c r="A16" s="9" t="s">
        <v>16</v>
      </c>
      <c r="B16" s="8">
        <v>18619.71</v>
      </c>
      <c r="C16" s="13">
        <v>19632.41</v>
      </c>
      <c r="D16" s="8">
        <v>-1012.7</v>
      </c>
    </row>
    <row r="17" spans="1:4" ht="12.75">
      <c r="A17" s="9" t="s">
        <v>17</v>
      </c>
      <c r="B17" s="8">
        <v>18619.71</v>
      </c>
      <c r="C17" s="13">
        <v>19581.61</v>
      </c>
      <c r="D17" s="8">
        <v>-961.9</v>
      </c>
    </row>
    <row r="18" spans="1:4" ht="12.75">
      <c r="A18" s="9" t="s">
        <v>18</v>
      </c>
      <c r="B18" s="8">
        <v>18619.71</v>
      </c>
      <c r="C18" s="13">
        <v>19700.65</v>
      </c>
      <c r="D18" s="8">
        <v>-1080.94</v>
      </c>
    </row>
    <row r="19" spans="1:4" ht="12.75">
      <c r="A19" s="9" t="s">
        <v>19</v>
      </c>
      <c r="B19" s="8">
        <v>18619.71</v>
      </c>
      <c r="C19" s="13">
        <v>17593.14</v>
      </c>
      <c r="D19" s="8">
        <v>1026.57</v>
      </c>
    </row>
    <row r="20" spans="1:4" ht="12.75">
      <c r="A20" s="9" t="s">
        <v>20</v>
      </c>
      <c r="B20" s="13">
        <v>20476.11</v>
      </c>
      <c r="C20" s="13">
        <v>19119.47</v>
      </c>
      <c r="D20" s="8">
        <v>1356.64</v>
      </c>
    </row>
    <row r="21" spans="1:4" ht="12.75">
      <c r="A21" s="9" t="s">
        <v>21</v>
      </c>
      <c r="B21" s="13">
        <v>20476.11</v>
      </c>
      <c r="C21" s="13">
        <v>19119.47</v>
      </c>
      <c r="D21" s="13">
        <v>1356.64</v>
      </c>
    </row>
    <row r="22" spans="1:4" ht="12.75">
      <c r="A22" s="9" t="s">
        <v>22</v>
      </c>
      <c r="B22" s="13">
        <v>20476.11</v>
      </c>
      <c r="C22" s="13">
        <v>20742.2</v>
      </c>
      <c r="D22" s="13">
        <v>-266.09</v>
      </c>
    </row>
    <row r="23" spans="1:4" ht="12.75">
      <c r="A23" s="9" t="s">
        <v>23</v>
      </c>
      <c r="B23" s="13">
        <v>20476.11</v>
      </c>
      <c r="C23" s="13">
        <v>20650.19</v>
      </c>
      <c r="D23" s="13">
        <v>-174.08</v>
      </c>
    </row>
    <row r="24" spans="1:4" ht="12.75">
      <c r="A24" s="7" t="s">
        <v>24</v>
      </c>
      <c r="B24" s="8">
        <f>SUM(B25:B36)</f>
        <v>56.16</v>
      </c>
      <c r="C24" s="8">
        <f>SUM(C25:C36)</f>
        <v>56.16</v>
      </c>
      <c r="D24" s="8">
        <f>SUM(D25:D36)</f>
        <v>0</v>
      </c>
    </row>
    <row r="25" spans="1:4" ht="12.75">
      <c r="A25" s="9" t="s">
        <v>25</v>
      </c>
      <c r="B25" s="8">
        <v>4.68</v>
      </c>
      <c r="C25" s="8">
        <v>4.68</v>
      </c>
      <c r="D25" s="8">
        <v>0</v>
      </c>
    </row>
    <row r="26" spans="1:4" ht="12.75">
      <c r="A26" s="9" t="s">
        <v>13</v>
      </c>
      <c r="B26" s="8">
        <v>4.68</v>
      </c>
      <c r="C26" s="8">
        <v>4.68</v>
      </c>
      <c r="D26" s="8">
        <v>0</v>
      </c>
    </row>
    <row r="27" spans="1:4" ht="12.75">
      <c r="A27" s="9" t="s">
        <v>14</v>
      </c>
      <c r="B27" s="8">
        <v>4.68</v>
      </c>
      <c r="C27" s="8">
        <v>4.68</v>
      </c>
      <c r="D27" s="8">
        <v>0</v>
      </c>
    </row>
    <row r="28" spans="1:4" ht="12.75">
      <c r="A28" s="9" t="s">
        <v>15</v>
      </c>
      <c r="B28" s="8">
        <v>4.68</v>
      </c>
      <c r="C28" s="8">
        <v>4.68</v>
      </c>
      <c r="D28" s="8">
        <v>0</v>
      </c>
    </row>
    <row r="29" spans="1:4" ht="12.75">
      <c r="A29" s="9" t="s">
        <v>16</v>
      </c>
      <c r="B29" s="8">
        <v>4.68</v>
      </c>
      <c r="C29" s="8">
        <v>4.68</v>
      </c>
      <c r="D29" s="8">
        <v>0</v>
      </c>
    </row>
    <row r="30" spans="1:4" ht="12.75">
      <c r="A30" s="9" t="s">
        <v>17</v>
      </c>
      <c r="B30" s="8">
        <v>4.68</v>
      </c>
      <c r="C30" s="8">
        <v>4.68</v>
      </c>
      <c r="D30" s="8">
        <v>0</v>
      </c>
    </row>
    <row r="31" spans="1:4" ht="12.75">
      <c r="A31" s="9" t="s">
        <v>18</v>
      </c>
      <c r="B31" s="8">
        <v>4.68</v>
      </c>
      <c r="C31" s="8">
        <v>4.68</v>
      </c>
      <c r="D31" s="8">
        <v>0</v>
      </c>
    </row>
    <row r="32" spans="1:4" ht="12.75">
      <c r="A32" s="9" t="s">
        <v>19</v>
      </c>
      <c r="B32" s="8">
        <v>4.68</v>
      </c>
      <c r="C32" s="8">
        <v>4.68</v>
      </c>
      <c r="D32" s="8">
        <v>0</v>
      </c>
    </row>
    <row r="33" spans="1:4" ht="12.75">
      <c r="A33" s="9" t="s">
        <v>20</v>
      </c>
      <c r="B33" s="8">
        <v>4.68</v>
      </c>
      <c r="C33" s="8">
        <v>4.68</v>
      </c>
      <c r="D33" s="8">
        <v>0</v>
      </c>
    </row>
    <row r="34" spans="1:4" ht="12.75">
      <c r="A34" s="9" t="s">
        <v>21</v>
      </c>
      <c r="B34" s="8">
        <v>4.68</v>
      </c>
      <c r="C34" s="8">
        <v>4.68</v>
      </c>
      <c r="D34" s="13">
        <v>0</v>
      </c>
    </row>
    <row r="35" spans="1:4" ht="12.75">
      <c r="A35" s="9" t="s">
        <v>22</v>
      </c>
      <c r="B35" s="8">
        <v>4.68</v>
      </c>
      <c r="C35" s="8">
        <v>4.68</v>
      </c>
      <c r="D35" s="13">
        <v>0</v>
      </c>
    </row>
    <row r="36" spans="1:4" ht="12.75">
      <c r="A36" s="9" t="s">
        <v>23</v>
      </c>
      <c r="B36" s="8">
        <v>4.68</v>
      </c>
      <c r="C36" s="8">
        <v>4.68</v>
      </c>
      <c r="D36" s="13">
        <v>0</v>
      </c>
    </row>
    <row r="37" spans="1:4" ht="12.75">
      <c r="A37" s="26" t="s">
        <v>26</v>
      </c>
      <c r="B37" s="8">
        <f>B11+B24</f>
        <v>230918.27999999994</v>
      </c>
      <c r="C37" s="8">
        <f>C11+C24</f>
        <v>229570.54</v>
      </c>
      <c r="D37" s="8">
        <f>D11+D24</f>
        <v>1347.7400000000002</v>
      </c>
    </row>
    <row r="38" spans="1:4" ht="12.75">
      <c r="A38" s="11"/>
      <c r="D38" s="12"/>
    </row>
    <row r="39" spans="1:4" ht="12.75">
      <c r="A39" s="11" t="s">
        <v>27</v>
      </c>
      <c r="D39" s="12">
        <f>D37</f>
        <v>1347.7400000000002</v>
      </c>
    </row>
    <row r="40" spans="1:4" ht="12.75">
      <c r="A40" s="11"/>
      <c r="D40" s="12"/>
    </row>
    <row r="41" spans="1:4" ht="12.75">
      <c r="A41" s="11" t="s">
        <v>28</v>
      </c>
      <c r="D41" s="12">
        <f>D42+D43</f>
        <v>16596.216</v>
      </c>
    </row>
    <row r="42" spans="1:4" ht="12.75" hidden="1">
      <c r="A42" s="11" t="s">
        <v>29</v>
      </c>
      <c r="D42" s="12">
        <f>(1.33*4*D3)+(1.21*8*D3)</f>
        <v>13923</v>
      </c>
    </row>
    <row r="43" spans="1:4" ht="12.75" hidden="1">
      <c r="A43" s="11" t="s">
        <v>30</v>
      </c>
      <c r="D43" s="12">
        <f>(0.24*12*D3)</f>
        <v>2673.216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624*0.22*4+(624*2.5)</f>
        <v>2109.12</v>
      </c>
    </row>
    <row r="46" spans="1:4" ht="12.75">
      <c r="A46" s="11" t="s">
        <v>80</v>
      </c>
      <c r="D46" s="12">
        <f>(2.66*4*D3)+(2.42*8*D3)</f>
        <v>27846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2004.9120000000003</v>
      </c>
    </row>
    <row r="49" spans="1:4" ht="12.75">
      <c r="A49" s="11" t="s">
        <v>33</v>
      </c>
      <c r="D49" s="12">
        <f>(1.45*4*D3)+(1.32*8*D3)</f>
        <v>15185.352000000003</v>
      </c>
    </row>
    <row r="50" spans="1:4" ht="12.75">
      <c r="A50" t="s">
        <v>34</v>
      </c>
      <c r="D50" s="12">
        <f>(4.94*4*D3)+(4.51*8*D3)</f>
        <v>51830.688</v>
      </c>
    </row>
    <row r="51" spans="1:4" ht="12.75">
      <c r="A51" t="s">
        <v>35</v>
      </c>
      <c r="D51" s="12">
        <f>(0.29*4*D3)+(0.26*8*D3)</f>
        <v>3007.3680000000004</v>
      </c>
    </row>
    <row r="52" spans="1:4" ht="12.75">
      <c r="A52" s="11" t="s">
        <v>78</v>
      </c>
      <c r="D52" s="12">
        <f>(3.87*4*D3)+(3.52*8*D3)</f>
        <v>40506.648</v>
      </c>
    </row>
    <row r="53" spans="1:4" ht="12.75">
      <c r="A53" t="s">
        <v>36</v>
      </c>
      <c r="D53" s="12">
        <f>2.25*12*D4</f>
        <v>486</v>
      </c>
    </row>
    <row r="54" spans="1:4" ht="12.75">
      <c r="A54" t="s">
        <v>37</v>
      </c>
      <c r="D54" s="12">
        <v>23491</v>
      </c>
    </row>
    <row r="55" spans="1:4" ht="12.75">
      <c r="A55" t="s">
        <v>38</v>
      </c>
      <c r="D55" s="12">
        <f>(0.91*4*D3)+(0.83*8*D3)</f>
        <v>9541.896</v>
      </c>
    </row>
    <row r="56" ht="12.75">
      <c r="D56" s="12"/>
    </row>
    <row r="57" spans="1:4" ht="12.75">
      <c r="A57" t="s">
        <v>39</v>
      </c>
      <c r="D57" s="12">
        <f>D41+D44+D45+D46+D47+D48+D49+D50+D51+D52+D53+D54+D55+D56</f>
        <v>192605.2</v>
      </c>
    </row>
    <row r="59" spans="1:4" ht="12.75">
      <c r="A59" t="s">
        <v>69</v>
      </c>
      <c r="D59" s="12">
        <f>C37-D57</f>
        <v>36965.34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5"/>
  <dimension ref="A1:G76"/>
  <sheetViews>
    <sheetView tabSelected="1" workbookViewId="0" topLeftCell="A1">
      <selection activeCell="D76" sqref="D76"/>
    </sheetView>
  </sheetViews>
  <sheetFormatPr defaultColWidth="9.140625" defaultRowHeight="12.75"/>
  <cols>
    <col min="1" max="1" width="14.00390625" style="0" customWidth="1"/>
    <col min="2" max="2" width="13.7109375" style="0" customWidth="1"/>
    <col min="3" max="3" width="14.421875" style="0" customWidth="1"/>
    <col min="4" max="4" width="13.28125" style="0" customWidth="1"/>
    <col min="5" max="5" width="5.8515625" style="0" customWidth="1"/>
    <col min="6" max="6" width="5.421875" style="0" customWidth="1"/>
  </cols>
  <sheetData>
    <row r="1" spans="1:7" ht="12.75">
      <c r="A1" s="1" t="s">
        <v>0</v>
      </c>
      <c r="B1" s="2" t="s">
        <v>1</v>
      </c>
      <c r="C1" s="1" t="s">
        <v>53</v>
      </c>
      <c r="D1" s="1"/>
      <c r="E1" s="1" t="s">
        <v>2</v>
      </c>
      <c r="F1" s="3">
        <v>9</v>
      </c>
      <c r="G1">
        <v>2016</v>
      </c>
    </row>
    <row r="3" spans="1:5" ht="12.75">
      <c r="A3" t="s">
        <v>3</v>
      </c>
      <c r="D3" s="4">
        <v>926.6</v>
      </c>
      <c r="E3" s="4" t="s">
        <v>83</v>
      </c>
    </row>
    <row r="4" spans="1:5" ht="12.75">
      <c r="A4" t="s">
        <v>4</v>
      </c>
      <c r="D4" s="4">
        <v>18</v>
      </c>
      <c r="E4" s="4"/>
    </row>
    <row r="5" spans="1:5" ht="12.75">
      <c r="A5" t="s">
        <v>5</v>
      </c>
      <c r="D5" s="4">
        <v>35</v>
      </c>
      <c r="E5" s="4" t="s">
        <v>6</v>
      </c>
    </row>
    <row r="6" spans="1:5" ht="12.75">
      <c r="A6" t="s">
        <v>7</v>
      </c>
      <c r="D6" s="4">
        <v>56</v>
      </c>
      <c r="E6" s="4" t="s">
        <v>83</v>
      </c>
    </row>
    <row r="7" spans="1:5" ht="12.75">
      <c r="A7" t="s">
        <v>8</v>
      </c>
      <c r="D7" s="4">
        <v>882</v>
      </c>
      <c r="E7" s="4" t="s">
        <v>83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226460.55999999994</v>
      </c>
      <c r="C11" s="8">
        <f>SUM(C12:C23)</f>
        <v>195129.44000000003</v>
      </c>
      <c r="D11" s="8">
        <f>SUM(D12:D23)</f>
        <v>31331.12</v>
      </c>
    </row>
    <row r="12" spans="1:4" ht="12.75">
      <c r="A12" s="9" t="s">
        <v>25</v>
      </c>
      <c r="B12" s="8">
        <v>18388.02</v>
      </c>
      <c r="C12" s="8">
        <v>14204.3</v>
      </c>
      <c r="D12" s="8">
        <v>4183.72</v>
      </c>
    </row>
    <row r="13" spans="1:4" ht="12.75">
      <c r="A13" s="9" t="s">
        <v>13</v>
      </c>
      <c r="B13" s="8">
        <v>18047.98</v>
      </c>
      <c r="C13" s="13">
        <v>11853.61</v>
      </c>
      <c r="D13" s="8">
        <v>6194.37</v>
      </c>
    </row>
    <row r="14" spans="1:4" ht="12.75">
      <c r="A14" s="9" t="s">
        <v>14</v>
      </c>
      <c r="B14" s="8">
        <v>18047.98</v>
      </c>
      <c r="C14" s="13">
        <v>21253.29</v>
      </c>
      <c r="D14" s="8">
        <v>-3205.31</v>
      </c>
    </row>
    <row r="15" spans="1:4" ht="12.75">
      <c r="A15" s="9" t="s">
        <v>15</v>
      </c>
      <c r="B15" s="8">
        <v>18047.98</v>
      </c>
      <c r="C15" s="13">
        <v>17619.88</v>
      </c>
      <c r="D15" s="8">
        <v>428.1</v>
      </c>
    </row>
    <row r="16" spans="1:4" ht="12.75">
      <c r="A16" s="9" t="s">
        <v>16</v>
      </c>
      <c r="B16" s="8">
        <v>18047.98</v>
      </c>
      <c r="C16" s="13">
        <v>15654.82</v>
      </c>
      <c r="D16" s="8">
        <v>2393.16</v>
      </c>
    </row>
    <row r="17" spans="1:4" ht="12.75">
      <c r="A17" s="9" t="s">
        <v>17</v>
      </c>
      <c r="B17" s="8">
        <v>18047.98</v>
      </c>
      <c r="C17" s="13">
        <v>16504.5</v>
      </c>
      <c r="D17" s="8">
        <v>1543.48</v>
      </c>
    </row>
    <row r="18" spans="1:4" ht="12.75">
      <c r="A18" s="9" t="s">
        <v>18</v>
      </c>
      <c r="B18" s="8">
        <v>18047.98</v>
      </c>
      <c r="C18" s="13">
        <v>14602.6</v>
      </c>
      <c r="D18" s="8">
        <v>3445.38</v>
      </c>
    </row>
    <row r="19" spans="1:4" ht="12.75">
      <c r="A19" s="9" t="s">
        <v>19</v>
      </c>
      <c r="B19" s="8">
        <v>18047.98</v>
      </c>
      <c r="C19" s="13">
        <v>15665.04</v>
      </c>
      <c r="D19" s="8">
        <v>2382.94</v>
      </c>
    </row>
    <row r="20" spans="1:4" ht="12.75">
      <c r="A20" s="9" t="s">
        <v>20</v>
      </c>
      <c r="B20" s="13">
        <v>20434.17</v>
      </c>
      <c r="C20" s="13">
        <v>12681.67</v>
      </c>
      <c r="D20" s="8">
        <v>7752.5</v>
      </c>
    </row>
    <row r="21" spans="1:4" ht="12.75">
      <c r="A21" s="9" t="s">
        <v>21</v>
      </c>
      <c r="B21" s="13">
        <v>20434.17</v>
      </c>
      <c r="C21" s="13">
        <v>11750.91</v>
      </c>
      <c r="D21" s="13">
        <v>8683.26</v>
      </c>
    </row>
    <row r="22" spans="1:4" ht="12.75">
      <c r="A22" s="9" t="s">
        <v>22</v>
      </c>
      <c r="B22" s="13">
        <v>20434.17</v>
      </c>
      <c r="C22" s="13">
        <v>24873.35</v>
      </c>
      <c r="D22" s="13">
        <v>-4439.18</v>
      </c>
    </row>
    <row r="23" spans="1:4" ht="12.75">
      <c r="A23" s="9" t="s">
        <v>23</v>
      </c>
      <c r="B23" s="13">
        <v>20434.17</v>
      </c>
      <c r="C23" s="13">
        <v>18465.47</v>
      </c>
      <c r="D23" s="13">
        <v>1968.7</v>
      </c>
    </row>
    <row r="24" spans="1:4" ht="12.75">
      <c r="A24" s="7" t="s">
        <v>24</v>
      </c>
      <c r="B24" s="8">
        <f>SUM(B25:B36)</f>
        <v>84.96</v>
      </c>
      <c r="C24" s="8">
        <f>SUM(C25:C36)</f>
        <v>81.64</v>
      </c>
      <c r="D24" s="8">
        <f>SUM(D25:D36)</f>
        <v>3.320000000000001</v>
      </c>
    </row>
    <row r="25" spans="1:4" ht="12.75">
      <c r="A25" s="9" t="s">
        <v>25</v>
      </c>
      <c r="B25" s="8">
        <v>7.08</v>
      </c>
      <c r="C25" s="8">
        <v>3.52</v>
      </c>
      <c r="D25" s="8">
        <v>3.56</v>
      </c>
    </row>
    <row r="26" spans="1:4" ht="12.75">
      <c r="A26" s="9" t="s">
        <v>13</v>
      </c>
      <c r="B26" s="8">
        <v>7.08</v>
      </c>
      <c r="C26" s="8">
        <v>0</v>
      </c>
      <c r="D26" s="8">
        <v>7.08</v>
      </c>
    </row>
    <row r="27" spans="1:4" ht="12.75">
      <c r="A27" s="9" t="s">
        <v>14</v>
      </c>
      <c r="B27" s="8">
        <v>7.08</v>
      </c>
      <c r="C27" s="8">
        <v>25.07</v>
      </c>
      <c r="D27" s="8">
        <v>-17.99</v>
      </c>
    </row>
    <row r="28" spans="1:4" ht="12.75">
      <c r="A28" s="9" t="s">
        <v>15</v>
      </c>
      <c r="B28" s="8">
        <v>7.08</v>
      </c>
      <c r="C28" s="8">
        <v>7.08</v>
      </c>
      <c r="D28" s="8">
        <v>0</v>
      </c>
    </row>
    <row r="29" spans="1:4" ht="12.75">
      <c r="A29" s="9" t="s">
        <v>16</v>
      </c>
      <c r="B29" s="8">
        <v>7.08</v>
      </c>
      <c r="C29" s="8">
        <v>3.56</v>
      </c>
      <c r="D29" s="8">
        <v>3.52</v>
      </c>
    </row>
    <row r="30" spans="1:4" ht="12.75">
      <c r="A30" s="9" t="s">
        <v>17</v>
      </c>
      <c r="B30" s="8">
        <v>7.08</v>
      </c>
      <c r="C30" s="8">
        <v>0</v>
      </c>
      <c r="D30" s="8">
        <v>7.08</v>
      </c>
    </row>
    <row r="31" spans="1:4" ht="12.75">
      <c r="A31" s="9" t="s">
        <v>18</v>
      </c>
      <c r="B31" s="8">
        <v>7.08</v>
      </c>
      <c r="C31" s="8">
        <v>7.13</v>
      </c>
      <c r="D31" s="8">
        <v>-0.05</v>
      </c>
    </row>
    <row r="32" spans="1:4" ht="12.75">
      <c r="A32" s="9" t="s">
        <v>19</v>
      </c>
      <c r="B32" s="8">
        <v>7.08</v>
      </c>
      <c r="C32" s="8">
        <v>3.55</v>
      </c>
      <c r="D32" s="8">
        <v>3.53</v>
      </c>
    </row>
    <row r="33" spans="1:4" ht="12.75">
      <c r="A33" s="9" t="s">
        <v>20</v>
      </c>
      <c r="B33" s="8">
        <v>7.08</v>
      </c>
      <c r="C33" s="8">
        <v>0</v>
      </c>
      <c r="D33" s="8">
        <v>7.08</v>
      </c>
    </row>
    <row r="34" spans="1:4" ht="12.75">
      <c r="A34" s="9" t="s">
        <v>21</v>
      </c>
      <c r="B34" s="8">
        <v>7.08</v>
      </c>
      <c r="C34" s="8">
        <v>3.57</v>
      </c>
      <c r="D34" s="13">
        <v>3.51</v>
      </c>
    </row>
    <row r="35" spans="1:4" ht="12.75">
      <c r="A35" s="9" t="s">
        <v>22</v>
      </c>
      <c r="B35" s="8">
        <v>7.08</v>
      </c>
      <c r="C35" s="8">
        <v>15.53</v>
      </c>
      <c r="D35" s="13">
        <v>-8.45</v>
      </c>
    </row>
    <row r="36" spans="1:4" ht="12.75">
      <c r="A36" s="9" t="s">
        <v>23</v>
      </c>
      <c r="B36" s="8">
        <v>7.08</v>
      </c>
      <c r="C36" s="8">
        <v>12.63</v>
      </c>
      <c r="D36" s="13">
        <v>-5.55</v>
      </c>
    </row>
    <row r="37" spans="1:4" ht="12.75" hidden="1">
      <c r="A37" s="26" t="s">
        <v>41</v>
      </c>
      <c r="B37" s="8">
        <v>0</v>
      </c>
      <c r="C37" s="8">
        <v>0</v>
      </c>
      <c r="D37" s="8">
        <v>0</v>
      </c>
    </row>
    <row r="38" spans="1:4" ht="12.75" hidden="1">
      <c r="A38" s="11" t="s">
        <v>22</v>
      </c>
      <c r="D38" s="12">
        <v>0</v>
      </c>
    </row>
    <row r="39" spans="1:4" ht="12.75" hidden="1">
      <c r="A39" s="11" t="s">
        <v>23</v>
      </c>
      <c r="D39" s="12">
        <v>0</v>
      </c>
    </row>
    <row r="40" spans="1:4" ht="12.75" hidden="1">
      <c r="A40" s="11" t="s">
        <v>82</v>
      </c>
      <c r="B40">
        <v>0</v>
      </c>
      <c r="C40">
        <v>0</v>
      </c>
      <c r="D40" s="12">
        <v>0</v>
      </c>
    </row>
    <row r="41" spans="1:4" ht="12.75" hidden="1">
      <c r="A41" s="11" t="s">
        <v>25</v>
      </c>
      <c r="C41">
        <v>0</v>
      </c>
      <c r="D41" s="12">
        <v>0</v>
      </c>
    </row>
    <row r="42" spans="1:4" ht="12.75" hidden="1">
      <c r="A42" s="11" t="s">
        <v>13</v>
      </c>
      <c r="D42" s="12">
        <v>0</v>
      </c>
    </row>
    <row r="43" spans="1:4" ht="12.75" hidden="1">
      <c r="A43" s="11" t="s">
        <v>14</v>
      </c>
      <c r="D43" s="12">
        <v>0</v>
      </c>
    </row>
    <row r="44" spans="1:4" ht="12.75" hidden="1">
      <c r="A44" s="11" t="s">
        <v>15</v>
      </c>
      <c r="D44" s="12">
        <v>0</v>
      </c>
    </row>
    <row r="45" spans="1:4" ht="12.75" hidden="1">
      <c r="A45" s="11" t="s">
        <v>16</v>
      </c>
      <c r="D45" s="12">
        <v>0</v>
      </c>
    </row>
    <row r="46" spans="1:4" ht="12.75" hidden="1">
      <c r="A46" s="11" t="s">
        <v>17</v>
      </c>
      <c r="D46" s="12">
        <v>0</v>
      </c>
    </row>
    <row r="47" spans="1:4" ht="12.75" hidden="1">
      <c r="A47" s="11" t="s">
        <v>18</v>
      </c>
      <c r="D47" s="12">
        <v>0</v>
      </c>
    </row>
    <row r="48" spans="1:4" ht="12.75" hidden="1">
      <c r="A48" s="11" t="s">
        <v>19</v>
      </c>
      <c r="D48" s="12">
        <v>0</v>
      </c>
    </row>
    <row r="49" spans="1:4" ht="12.75" hidden="1">
      <c r="A49" s="11" t="s">
        <v>20</v>
      </c>
      <c r="D49" s="12">
        <v>0</v>
      </c>
    </row>
    <row r="50" spans="1:4" ht="12.75" hidden="1">
      <c r="A50" t="s">
        <v>21</v>
      </c>
      <c r="D50" s="12">
        <v>0</v>
      </c>
    </row>
    <row r="51" spans="1:4" ht="12.75" hidden="1">
      <c r="A51" t="s">
        <v>22</v>
      </c>
      <c r="D51" s="12">
        <v>0</v>
      </c>
    </row>
    <row r="52" spans="1:4" ht="12.75" hidden="1">
      <c r="A52" s="11" t="s">
        <v>23</v>
      </c>
      <c r="D52" s="12">
        <v>0</v>
      </c>
    </row>
    <row r="53" spans="1:5" ht="12.75">
      <c r="A53" s="26" t="s">
        <v>26</v>
      </c>
      <c r="B53" s="8">
        <f>B11+B24</f>
        <v>226545.51999999993</v>
      </c>
      <c r="C53" s="8">
        <f>C11+C24</f>
        <v>195211.08000000005</v>
      </c>
      <c r="D53" s="8">
        <f>D11+D24</f>
        <v>31334.44</v>
      </c>
      <c r="E53" s="1"/>
    </row>
    <row r="54" ht="12.75">
      <c r="D54" s="12"/>
    </row>
    <row r="55" spans="1:4" ht="12.75">
      <c r="A55" t="s">
        <v>27</v>
      </c>
      <c r="D55" s="12">
        <f>D53</f>
        <v>31334.44</v>
      </c>
    </row>
    <row r="56" ht="12.75">
      <c r="D56" s="12"/>
    </row>
    <row r="57" spans="1:4" ht="12.75">
      <c r="A57" t="s">
        <v>28</v>
      </c>
      <c r="D57" s="12">
        <f>D58+D59</f>
        <v>16567.608</v>
      </c>
    </row>
    <row r="58" spans="1:4" ht="12.75" hidden="1">
      <c r="A58" t="s">
        <v>29</v>
      </c>
      <c r="D58" s="12">
        <f>(1.33*4*D3)+(1.21*8*D3)</f>
        <v>13899</v>
      </c>
    </row>
    <row r="59" spans="1:4" ht="12.75" hidden="1">
      <c r="A59" t="s">
        <v>30</v>
      </c>
      <c r="D59" s="12">
        <f>(0.24*12*D3)</f>
        <v>2668.608</v>
      </c>
    </row>
    <row r="60" spans="1:4" ht="12.75" hidden="1">
      <c r="A60" t="s">
        <v>31</v>
      </c>
      <c r="D60" s="12">
        <v>0</v>
      </c>
    </row>
    <row r="61" spans="1:4" ht="12.75">
      <c r="A61" t="s">
        <v>77</v>
      </c>
      <c r="D61" s="12">
        <f>652.3*0.22*4+(652.3*2.5)</f>
        <v>2204.774</v>
      </c>
    </row>
    <row r="62" spans="1:4" ht="12.75">
      <c r="A62" t="s">
        <v>80</v>
      </c>
      <c r="D62" s="12">
        <f>(2.66*4*D3)+(2.42*8*D3)</f>
        <v>27798</v>
      </c>
    </row>
    <row r="63" spans="1:4" ht="12.75" hidden="1">
      <c r="A63" t="s">
        <v>32</v>
      </c>
      <c r="D63" s="12">
        <v>0</v>
      </c>
    </row>
    <row r="64" spans="1:4" ht="12.75">
      <c r="A64" t="s">
        <v>76</v>
      </c>
      <c r="D64" s="12">
        <f>(0.72*3*D7)</f>
        <v>1905.1200000000001</v>
      </c>
    </row>
    <row r="65" spans="1:4" ht="12.75">
      <c r="A65" t="s">
        <v>33</v>
      </c>
      <c r="D65" s="12">
        <f>(1.45*4*D3)+(1.32*8*D3)</f>
        <v>15159.176</v>
      </c>
    </row>
    <row r="66" spans="1:4" ht="12.75">
      <c r="A66" t="s">
        <v>34</v>
      </c>
      <c r="D66" s="12">
        <f>(4.94*4*D3)+(4.51*8*D3)</f>
        <v>51741.344000000005</v>
      </c>
    </row>
    <row r="67" spans="1:4" ht="12.75">
      <c r="A67" t="s">
        <v>35</v>
      </c>
      <c r="D67" s="12">
        <f>(0.29*4*D3)+(0.26*8*D3)</f>
        <v>3002.184</v>
      </c>
    </row>
    <row r="68" spans="1:4" ht="12.75">
      <c r="A68" t="s">
        <v>78</v>
      </c>
      <c r="D68" s="12">
        <f>(3.87*4*D3)+(3.52*8*D3)</f>
        <v>40436.824</v>
      </c>
    </row>
    <row r="69" spans="1:4" ht="12.75">
      <c r="A69" t="s">
        <v>36</v>
      </c>
      <c r="D69" s="12">
        <f>2.25*12*D4</f>
        <v>486</v>
      </c>
    </row>
    <row r="70" spans="1:4" ht="12.75">
      <c r="A70" t="s">
        <v>37</v>
      </c>
      <c r="D70" s="12">
        <v>17927</v>
      </c>
    </row>
    <row r="71" spans="1:4" ht="12.75">
      <c r="A71" t="s">
        <v>38</v>
      </c>
      <c r="D71" s="12">
        <f>(0.91*4*D3)+(0.83*8*D3)</f>
        <v>9525.448</v>
      </c>
    </row>
    <row r="72" spans="1:4" ht="12.75" hidden="1">
      <c r="A72" t="s">
        <v>62</v>
      </c>
      <c r="D72" s="12">
        <v>0</v>
      </c>
    </row>
    <row r="73" ht="12.75">
      <c r="D73" s="12"/>
    </row>
    <row r="74" spans="1:4" ht="12.75">
      <c r="A74" t="s">
        <v>39</v>
      </c>
      <c r="D74" s="12">
        <f>D57+D61+D62+D64+D65+D66+D67+D68+D69+D70+D71</f>
        <v>186753.478</v>
      </c>
    </row>
    <row r="76" spans="1:4" ht="12.75">
      <c r="A76" t="s">
        <v>69</v>
      </c>
      <c r="D76" s="27">
        <f>C53-D74</f>
        <v>8457.602000000043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3"/>
  <dimension ref="A1:G76"/>
  <sheetViews>
    <sheetView zoomScalePageLayoutView="0" workbookViewId="0" topLeftCell="A1">
      <selection activeCell="G70" sqref="G70:H77"/>
    </sheetView>
  </sheetViews>
  <sheetFormatPr defaultColWidth="9.140625" defaultRowHeight="12.75"/>
  <cols>
    <col min="1" max="1" width="15.140625" style="0" customWidth="1"/>
    <col min="2" max="2" width="13.00390625" style="0" customWidth="1"/>
    <col min="3" max="3" width="14.28125" style="0" customWidth="1"/>
    <col min="4" max="4" width="13.7109375" style="0" customWidth="1"/>
  </cols>
  <sheetData>
    <row r="1" spans="1:7" ht="12.75">
      <c r="A1" s="1" t="s">
        <v>0</v>
      </c>
      <c r="B1" s="2" t="s">
        <v>1</v>
      </c>
      <c r="C1" s="1" t="s">
        <v>72</v>
      </c>
      <c r="D1" s="1"/>
      <c r="E1" s="1" t="s">
        <v>2</v>
      </c>
      <c r="F1" s="3">
        <v>3</v>
      </c>
      <c r="G1">
        <v>2016</v>
      </c>
    </row>
    <row r="3" spans="1:5" ht="12.75">
      <c r="A3" t="s">
        <v>3</v>
      </c>
      <c r="D3" s="4">
        <v>911.5</v>
      </c>
      <c r="E3" s="5" t="s">
        <v>40</v>
      </c>
    </row>
    <row r="4" spans="1:5" ht="12.75">
      <c r="A4" t="s">
        <v>4</v>
      </c>
      <c r="D4" s="4">
        <v>22</v>
      </c>
      <c r="E4" s="5"/>
    </row>
    <row r="5" spans="1:5" ht="12.75">
      <c r="A5" t="s">
        <v>5</v>
      </c>
      <c r="D5" s="4">
        <v>47</v>
      </c>
      <c r="E5" s="5" t="s">
        <v>6</v>
      </c>
    </row>
    <row r="6" spans="1:5" ht="12.75">
      <c r="A6" t="s">
        <v>7</v>
      </c>
      <c r="D6" s="4">
        <v>42</v>
      </c>
      <c r="E6" s="5" t="s">
        <v>40</v>
      </c>
    </row>
    <row r="7" spans="1:5" ht="12.75">
      <c r="A7" t="s">
        <v>8</v>
      </c>
      <c r="D7" s="4">
        <v>1237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217853.19999999998</v>
      </c>
      <c r="C11" s="8">
        <f>SUM(C12:C23)</f>
        <v>211702.38</v>
      </c>
      <c r="D11" s="8">
        <f>SUM(D12:D23)</f>
        <v>6150.820000000007</v>
      </c>
    </row>
    <row r="12" spans="1:4" ht="12.75">
      <c r="A12" s="9" t="s">
        <v>25</v>
      </c>
      <c r="B12" s="8">
        <v>18129.81</v>
      </c>
      <c r="C12" s="8">
        <v>14706.27</v>
      </c>
      <c r="D12" s="8">
        <f aca="true" t="shared" si="0" ref="D12:D23">B12-C12</f>
        <v>3423.540000000001</v>
      </c>
    </row>
    <row r="13" spans="1:4" ht="12.75">
      <c r="A13" s="9" t="s">
        <v>13</v>
      </c>
      <c r="B13" s="8">
        <v>18129.81</v>
      </c>
      <c r="C13" s="13">
        <v>20439.15</v>
      </c>
      <c r="D13" s="8">
        <f t="shared" si="0"/>
        <v>-2309.34</v>
      </c>
    </row>
    <row r="14" spans="1:4" ht="12.75">
      <c r="A14" s="9" t="s">
        <v>14</v>
      </c>
      <c r="B14" s="8">
        <v>18129.81</v>
      </c>
      <c r="C14" s="13">
        <v>20581.39</v>
      </c>
      <c r="D14" s="8">
        <f t="shared" si="0"/>
        <v>-2451.579999999998</v>
      </c>
    </row>
    <row r="15" spans="1:4" ht="12.75">
      <c r="A15" s="9" t="s">
        <v>15</v>
      </c>
      <c r="B15" s="8">
        <v>18129.81</v>
      </c>
      <c r="C15" s="13">
        <v>14963.03</v>
      </c>
      <c r="D15" s="8">
        <f t="shared" si="0"/>
        <v>3166.7800000000007</v>
      </c>
    </row>
    <row r="16" spans="1:4" ht="12.75">
      <c r="A16" s="9" t="s">
        <v>16</v>
      </c>
      <c r="B16" s="8">
        <v>18129.81</v>
      </c>
      <c r="C16" s="13">
        <v>16325.78</v>
      </c>
      <c r="D16" s="8">
        <f t="shared" si="0"/>
        <v>1804.0300000000007</v>
      </c>
    </row>
    <row r="17" spans="1:4" ht="12.75">
      <c r="A17" s="9" t="s">
        <v>17</v>
      </c>
      <c r="B17" s="8">
        <v>18129.81</v>
      </c>
      <c r="C17" s="13">
        <v>20439.72</v>
      </c>
      <c r="D17" s="8">
        <f t="shared" si="0"/>
        <v>-2309.91</v>
      </c>
    </row>
    <row r="18" spans="1:4" ht="12.75">
      <c r="A18" s="9" t="s">
        <v>18</v>
      </c>
      <c r="B18" s="8">
        <v>18129.81</v>
      </c>
      <c r="C18" s="13">
        <v>18882.83</v>
      </c>
      <c r="D18" s="8">
        <f t="shared" si="0"/>
        <v>-753.0200000000004</v>
      </c>
    </row>
    <row r="19" spans="1:4" ht="12.75">
      <c r="A19" s="9" t="s">
        <v>19</v>
      </c>
      <c r="B19" s="8">
        <v>18129.81</v>
      </c>
      <c r="C19" s="13">
        <v>16569.14</v>
      </c>
      <c r="D19" s="8">
        <f t="shared" si="0"/>
        <v>1560.670000000002</v>
      </c>
    </row>
    <row r="20" spans="1:4" ht="12.75">
      <c r="A20" s="9" t="s">
        <v>20</v>
      </c>
      <c r="B20" s="13">
        <v>18203.68</v>
      </c>
      <c r="C20" s="13">
        <v>15682.14</v>
      </c>
      <c r="D20" s="8">
        <f t="shared" si="0"/>
        <v>2521.540000000001</v>
      </c>
    </row>
    <row r="21" spans="1:4" ht="12.75">
      <c r="A21" s="9" t="s">
        <v>21</v>
      </c>
      <c r="B21" s="13">
        <v>18203.68</v>
      </c>
      <c r="C21" s="13">
        <v>18785.97</v>
      </c>
      <c r="D21" s="13">
        <f t="shared" si="0"/>
        <v>-582.2900000000009</v>
      </c>
    </row>
    <row r="22" spans="1:4" ht="12.75">
      <c r="A22" s="9" t="s">
        <v>22</v>
      </c>
      <c r="B22" s="13">
        <v>18203.68</v>
      </c>
      <c r="C22" s="13">
        <v>14761.39</v>
      </c>
      <c r="D22" s="13">
        <f t="shared" si="0"/>
        <v>3442.290000000001</v>
      </c>
    </row>
    <row r="23" spans="1:4" ht="12.75">
      <c r="A23" s="9" t="s">
        <v>23</v>
      </c>
      <c r="B23" s="13">
        <v>18203.68</v>
      </c>
      <c r="C23" s="13">
        <v>19565.57</v>
      </c>
      <c r="D23" s="13">
        <f t="shared" si="0"/>
        <v>-1361.8899999999994</v>
      </c>
    </row>
    <row r="24" spans="1:4" ht="12.75">
      <c r="A24" s="7" t="s">
        <v>24</v>
      </c>
      <c r="B24" s="8">
        <f>SUM(B25:B36)</f>
        <v>75.23999999999998</v>
      </c>
      <c r="C24" s="8">
        <f>SUM(C25:C36)</f>
        <v>68.53999999999999</v>
      </c>
      <c r="D24" s="8">
        <f>SUM(D25:D36)</f>
        <v>6.699999999999999</v>
      </c>
    </row>
    <row r="25" spans="1:4" ht="12.75">
      <c r="A25" s="9" t="s">
        <v>25</v>
      </c>
      <c r="B25" s="8">
        <v>6.27</v>
      </c>
      <c r="C25" s="8">
        <v>0</v>
      </c>
      <c r="D25" s="8">
        <f aca="true" t="shared" si="1" ref="D25:D36">B25-C25</f>
        <v>6.27</v>
      </c>
    </row>
    <row r="26" spans="1:4" ht="12.75">
      <c r="A26" s="9" t="s">
        <v>13</v>
      </c>
      <c r="B26" s="8">
        <v>6.27</v>
      </c>
      <c r="C26" s="8">
        <v>6.27</v>
      </c>
      <c r="D26" s="8">
        <f t="shared" si="1"/>
        <v>0</v>
      </c>
    </row>
    <row r="27" spans="1:4" ht="12.75">
      <c r="A27" s="9" t="s">
        <v>14</v>
      </c>
      <c r="B27" s="8">
        <v>6.27</v>
      </c>
      <c r="C27" s="13">
        <v>12.54</v>
      </c>
      <c r="D27" s="8">
        <f t="shared" si="1"/>
        <v>-6.27</v>
      </c>
    </row>
    <row r="28" spans="1:4" ht="12.75">
      <c r="A28" s="9" t="s">
        <v>15</v>
      </c>
      <c r="B28" s="8">
        <v>6.27</v>
      </c>
      <c r="C28" s="8">
        <v>6.27</v>
      </c>
      <c r="D28" s="8">
        <f t="shared" si="1"/>
        <v>0</v>
      </c>
    </row>
    <row r="29" spans="1:4" ht="12.75">
      <c r="A29" s="9" t="s">
        <v>16</v>
      </c>
      <c r="B29" s="8">
        <v>6.27</v>
      </c>
      <c r="C29" s="13">
        <v>2.92</v>
      </c>
      <c r="D29" s="8">
        <f t="shared" si="1"/>
        <v>3.3499999999999996</v>
      </c>
    </row>
    <row r="30" spans="1:4" ht="12.75">
      <c r="A30" s="9" t="s">
        <v>17</v>
      </c>
      <c r="B30" s="8">
        <v>6.27</v>
      </c>
      <c r="C30" s="13">
        <v>9.62</v>
      </c>
      <c r="D30" s="8">
        <f t="shared" si="1"/>
        <v>-3.3499999999999996</v>
      </c>
    </row>
    <row r="31" spans="1:4" ht="12.75">
      <c r="A31" s="9" t="s">
        <v>18</v>
      </c>
      <c r="B31" s="8">
        <v>6.27</v>
      </c>
      <c r="C31" s="13">
        <v>2.92</v>
      </c>
      <c r="D31" s="8">
        <f t="shared" si="1"/>
        <v>3.3499999999999996</v>
      </c>
    </row>
    <row r="32" spans="1:4" ht="12.75">
      <c r="A32" s="9" t="s">
        <v>19</v>
      </c>
      <c r="B32" s="8">
        <v>6.27</v>
      </c>
      <c r="C32" s="13">
        <v>9.62</v>
      </c>
      <c r="D32" s="8">
        <f t="shared" si="1"/>
        <v>-3.3499999999999996</v>
      </c>
    </row>
    <row r="33" spans="1:4" ht="12.75">
      <c r="A33" s="9" t="s">
        <v>20</v>
      </c>
      <c r="B33" s="8">
        <v>6.27</v>
      </c>
      <c r="C33" s="8">
        <v>6.27</v>
      </c>
      <c r="D33" s="8">
        <f t="shared" si="1"/>
        <v>0</v>
      </c>
    </row>
    <row r="34" spans="1:4" ht="12.75">
      <c r="A34" s="9" t="s">
        <v>21</v>
      </c>
      <c r="B34" s="8">
        <v>6.27</v>
      </c>
      <c r="C34" s="13">
        <v>2.92</v>
      </c>
      <c r="D34" s="13">
        <f t="shared" si="1"/>
        <v>3.3499999999999996</v>
      </c>
    </row>
    <row r="35" spans="1:4" ht="12.75">
      <c r="A35" s="9" t="s">
        <v>22</v>
      </c>
      <c r="B35" s="8">
        <v>6.27</v>
      </c>
      <c r="C35" s="13">
        <v>2.92</v>
      </c>
      <c r="D35" s="13">
        <f t="shared" si="1"/>
        <v>3.3499999999999996</v>
      </c>
    </row>
    <row r="36" spans="1:4" ht="12.75">
      <c r="A36" s="9" t="s">
        <v>23</v>
      </c>
      <c r="B36" s="8">
        <v>6.27</v>
      </c>
      <c r="C36" s="8">
        <v>6.27</v>
      </c>
      <c r="D36" s="13">
        <f t="shared" si="1"/>
        <v>0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82</v>
      </c>
      <c r="B40" s="8">
        <f>SUM(B41:B52)</f>
        <v>0</v>
      </c>
      <c r="C40" s="8">
        <f>SUM(C41:C52)</f>
        <v>0</v>
      </c>
      <c r="D40" s="8">
        <f>SUM(D41:D52)</f>
        <v>0</v>
      </c>
    </row>
    <row r="41" spans="1:4" ht="12.75" hidden="1">
      <c r="A41" s="9" t="s">
        <v>25</v>
      </c>
      <c r="B41" s="8"/>
      <c r="C41" s="8"/>
      <c r="D41" s="8">
        <f aca="true" t="shared" si="2" ref="D41:D47">B41-C41</f>
        <v>0</v>
      </c>
    </row>
    <row r="42" spans="1:4" ht="12.75" hidden="1">
      <c r="A42" s="9" t="s">
        <v>13</v>
      </c>
      <c r="B42" s="13"/>
      <c r="C42" s="13"/>
      <c r="D42" s="8">
        <f t="shared" si="2"/>
        <v>0</v>
      </c>
    </row>
    <row r="43" spans="1:4" ht="12.75" hidden="1">
      <c r="A43" s="9" t="s">
        <v>14</v>
      </c>
      <c r="B43" s="13"/>
      <c r="C43" s="13"/>
      <c r="D43" s="8">
        <f t="shared" si="2"/>
        <v>0</v>
      </c>
    </row>
    <row r="44" spans="1:4" ht="12.75" hidden="1">
      <c r="A44" s="9" t="s">
        <v>15</v>
      </c>
      <c r="B44" s="13"/>
      <c r="C44" s="13"/>
      <c r="D44" s="8">
        <f t="shared" si="2"/>
        <v>0</v>
      </c>
    </row>
    <row r="45" spans="1:4" ht="12.75" hidden="1">
      <c r="A45" s="9" t="s">
        <v>16</v>
      </c>
      <c r="B45" s="13"/>
      <c r="C45" s="13"/>
      <c r="D45" s="8">
        <f t="shared" si="2"/>
        <v>0</v>
      </c>
    </row>
    <row r="46" spans="1:4" ht="12.75" hidden="1">
      <c r="A46" s="9" t="s">
        <v>17</v>
      </c>
      <c r="B46" s="13"/>
      <c r="C46" s="13"/>
      <c r="D46" s="8">
        <f t="shared" si="2"/>
        <v>0</v>
      </c>
    </row>
    <row r="47" spans="1:4" ht="12.75" hidden="1">
      <c r="A47" s="9" t="s">
        <v>18</v>
      </c>
      <c r="B47" s="13"/>
      <c r="C47" s="13"/>
      <c r="D47" s="8">
        <f t="shared" si="2"/>
        <v>0</v>
      </c>
    </row>
    <row r="48" spans="1:4" ht="12.75" hidden="1">
      <c r="A48" s="9" t="s">
        <v>19</v>
      </c>
      <c r="B48" s="8"/>
      <c r="C48" s="8"/>
      <c r="D48" s="8">
        <f>B48-C48</f>
        <v>0</v>
      </c>
    </row>
    <row r="49" spans="1:4" ht="12.75" hidden="1">
      <c r="A49" s="9" t="s">
        <v>20</v>
      </c>
      <c r="B49" s="13"/>
      <c r="C49" s="13"/>
      <c r="D49" s="8">
        <f>B49-C49</f>
        <v>0</v>
      </c>
    </row>
    <row r="50" spans="1:4" ht="12.75" hidden="1">
      <c r="A50" s="9" t="s">
        <v>21</v>
      </c>
      <c r="B50" s="13"/>
      <c r="C50" s="13"/>
      <c r="D50" s="13">
        <f>B50-C50</f>
        <v>0</v>
      </c>
    </row>
    <row r="51" spans="1:4" ht="12.75" hidden="1">
      <c r="A51" s="9" t="s">
        <v>22</v>
      </c>
      <c r="B51" s="13"/>
      <c r="C51" s="13"/>
      <c r="D51" s="13">
        <f>B51-C51</f>
        <v>0</v>
      </c>
    </row>
    <row r="52" spans="1:4" ht="12.75" hidden="1">
      <c r="A52" s="9" t="s">
        <v>23</v>
      </c>
      <c r="B52" s="13"/>
      <c r="C52" s="13"/>
      <c r="D52" s="13">
        <f>B52-C52</f>
        <v>0</v>
      </c>
    </row>
    <row r="53" spans="1:4" ht="12.75">
      <c r="A53" s="9" t="s">
        <v>26</v>
      </c>
      <c r="B53" s="8">
        <f>B11+B24+B37+B40</f>
        <v>217928.43999999997</v>
      </c>
      <c r="C53" s="8">
        <f>C11+C24+C37+C40</f>
        <v>211770.92</v>
      </c>
      <c r="D53" s="8">
        <f>D11+D24+D37+D40</f>
        <v>6157.520000000007</v>
      </c>
    </row>
    <row r="55" spans="1:4" ht="12.75">
      <c r="A55" t="s">
        <v>27</v>
      </c>
      <c r="D55" s="12">
        <f>D53</f>
        <v>6157.520000000007</v>
      </c>
    </row>
    <row r="57" spans="1:4" ht="12" customHeight="1">
      <c r="A57" s="11" t="s">
        <v>28</v>
      </c>
      <c r="D57" s="12">
        <f>D58+D59</f>
        <v>16297.619999999999</v>
      </c>
    </row>
    <row r="58" spans="1:4" ht="12.75" hidden="1">
      <c r="A58" s="11" t="s">
        <v>29</v>
      </c>
      <c r="D58" s="12">
        <f>(1.33*4*D3)+(1.21*8*D3)</f>
        <v>13672.5</v>
      </c>
    </row>
    <row r="59" spans="1:4" ht="12.75" hidden="1">
      <c r="A59" s="11" t="s">
        <v>30</v>
      </c>
      <c r="D59" s="12">
        <f>(0.24*12*D3)</f>
        <v>2625.12</v>
      </c>
    </row>
    <row r="60" spans="1:4" ht="12.75" hidden="1">
      <c r="A60" s="11" t="s">
        <v>31</v>
      </c>
      <c r="D60" s="12">
        <v>0</v>
      </c>
    </row>
    <row r="61" spans="1:4" ht="12.75" hidden="1">
      <c r="A61" s="11" t="s">
        <v>77</v>
      </c>
      <c r="D61" s="12">
        <v>0</v>
      </c>
    </row>
    <row r="62" spans="1:4" ht="12.75">
      <c r="A62" s="11" t="s">
        <v>80</v>
      </c>
      <c r="D62" s="12">
        <f>(2.66*4*D3)+(2.42*8*D3)</f>
        <v>27345</v>
      </c>
    </row>
    <row r="63" spans="1:4" ht="12.75" hidden="1">
      <c r="A63" s="11" t="s">
        <v>32</v>
      </c>
      <c r="D63" s="12"/>
    </row>
    <row r="64" spans="1:4" ht="12.75">
      <c r="A64" s="11" t="s">
        <v>76</v>
      </c>
      <c r="D64" s="12">
        <f>(0.72*3*D3)</f>
        <v>1968.8400000000001</v>
      </c>
    </row>
    <row r="65" spans="1:4" ht="12.75">
      <c r="A65" s="11" t="s">
        <v>33</v>
      </c>
      <c r="D65" s="12">
        <f>(1.45*4*D3)+(1.32*8*D3)</f>
        <v>14912.14</v>
      </c>
    </row>
    <row r="66" spans="1:4" ht="12.75">
      <c r="A66" s="11" t="s">
        <v>34</v>
      </c>
      <c r="D66" s="12">
        <f>(4.94*4*D3)+(4.51*8*D3)</f>
        <v>50898.16</v>
      </c>
    </row>
    <row r="67" spans="1:4" ht="12.75">
      <c r="A67" s="11" t="s">
        <v>35</v>
      </c>
      <c r="D67" s="12">
        <f>(0.29*4*D3)+(0.26*8*D3)</f>
        <v>2953.26</v>
      </c>
    </row>
    <row r="68" spans="1:4" ht="12.75">
      <c r="A68" s="11" t="s">
        <v>78</v>
      </c>
      <c r="D68" s="12">
        <f>(3.87*4*D3)+(3.52*8*D3)</f>
        <v>39777.86</v>
      </c>
    </row>
    <row r="69" spans="1:4" ht="12.75">
      <c r="A69" s="11" t="s">
        <v>36</v>
      </c>
      <c r="D69" s="12">
        <f>2.25*12*D4</f>
        <v>594</v>
      </c>
    </row>
    <row r="70" spans="1:4" ht="12.75">
      <c r="A70" s="11" t="s">
        <v>37</v>
      </c>
      <c r="D70" s="12">
        <v>72635</v>
      </c>
    </row>
    <row r="71" spans="1:4" ht="12.75">
      <c r="A71" s="11" t="s">
        <v>38</v>
      </c>
      <c r="D71" s="12">
        <f>(0.91*4*D3)+(0.83*8*D3)</f>
        <v>9370.22</v>
      </c>
    </row>
    <row r="72" spans="1:4" ht="12.75" hidden="1">
      <c r="A72" s="14" t="s">
        <v>62</v>
      </c>
      <c r="D72" s="12">
        <v>0</v>
      </c>
    </row>
    <row r="73" spans="1:4" ht="12.75">
      <c r="A73" s="11"/>
      <c r="D73" s="12"/>
    </row>
    <row r="74" spans="1:4" ht="12.75">
      <c r="A74" s="11" t="s">
        <v>39</v>
      </c>
      <c r="D74" s="12">
        <f>D57+D60+D61+D62+D63+D64+D65+D66+D67+D68+D69+D70+D71</f>
        <v>236752.1</v>
      </c>
    </row>
    <row r="75" spans="1:4" ht="12.75">
      <c r="A75" s="11"/>
      <c r="D75" s="12"/>
    </row>
    <row r="76" spans="1:4" ht="12.75">
      <c r="A76" t="s">
        <v>65</v>
      </c>
      <c r="D76" s="12">
        <f>C53-D74</f>
        <v>-24981.179999999993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4"/>
  <dimension ref="A1:H63"/>
  <sheetViews>
    <sheetView zoomScalePageLayoutView="0" workbookViewId="0" topLeftCell="A1">
      <selection activeCell="H57" sqref="H57"/>
    </sheetView>
  </sheetViews>
  <sheetFormatPr defaultColWidth="9.140625" defaultRowHeight="12.75"/>
  <cols>
    <col min="1" max="1" width="16.421875" style="0" customWidth="1"/>
    <col min="2" max="2" width="14.421875" style="0" customWidth="1"/>
    <col min="3" max="3" width="12.7109375" style="0" customWidth="1"/>
    <col min="4" max="4" width="13.140625" style="0" customWidth="1"/>
    <col min="5" max="5" width="6.7109375" style="0" customWidth="1"/>
    <col min="6" max="6" width="7.28125" style="0" customWidth="1"/>
  </cols>
  <sheetData>
    <row r="1" spans="1:7" ht="12.75">
      <c r="A1" s="1" t="s">
        <v>0</v>
      </c>
      <c r="B1" s="2" t="s">
        <v>1</v>
      </c>
      <c r="C1" s="1" t="s">
        <v>72</v>
      </c>
      <c r="D1" s="1"/>
      <c r="E1" s="1" t="s">
        <v>2</v>
      </c>
      <c r="F1" s="3">
        <v>4</v>
      </c>
      <c r="G1">
        <v>2016</v>
      </c>
    </row>
    <row r="3" spans="1:5" ht="12.75">
      <c r="A3" t="s">
        <v>3</v>
      </c>
      <c r="D3" s="4">
        <v>1327.5</v>
      </c>
      <c r="E3" s="5" t="s">
        <v>40</v>
      </c>
    </row>
    <row r="4" spans="1:5" ht="12.75">
      <c r="A4" t="s">
        <v>4</v>
      </c>
      <c r="D4" s="4">
        <v>33</v>
      </c>
      <c r="E4" s="5"/>
    </row>
    <row r="5" spans="1:5" ht="12.75">
      <c r="A5" t="s">
        <v>5</v>
      </c>
      <c r="D5" s="4">
        <v>69</v>
      </c>
      <c r="E5" s="5" t="s">
        <v>6</v>
      </c>
    </row>
    <row r="6" spans="1:5" ht="12.75">
      <c r="A6" t="s">
        <v>7</v>
      </c>
      <c r="D6" s="4">
        <v>400</v>
      </c>
      <c r="E6" s="5" t="s">
        <v>40</v>
      </c>
    </row>
    <row r="7" spans="1:5" ht="12.75">
      <c r="A7" t="s">
        <v>8</v>
      </c>
      <c r="D7" s="4">
        <v>2876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330507.5800000001</v>
      </c>
      <c r="C11" s="8">
        <f>SUM(C12:C23)</f>
        <v>303260.35</v>
      </c>
      <c r="D11" s="8">
        <f>SUM(D12:D23)</f>
        <v>27247.230000000007</v>
      </c>
    </row>
    <row r="12" spans="1:4" ht="12.75">
      <c r="A12" s="9" t="s">
        <v>25</v>
      </c>
      <c r="B12" s="8">
        <f>26665.79-116.3</f>
        <v>26549.49</v>
      </c>
      <c r="C12" s="8">
        <v>20904.8</v>
      </c>
      <c r="D12" s="8">
        <f aca="true" t="shared" si="0" ref="D12:D23">B12-C12</f>
        <v>5644.690000000002</v>
      </c>
    </row>
    <row r="13" spans="1:4" ht="12.75">
      <c r="A13" s="9" t="s">
        <v>13</v>
      </c>
      <c r="B13" s="8">
        <v>26665.79</v>
      </c>
      <c r="C13" s="13">
        <v>21554.47</v>
      </c>
      <c r="D13" s="8">
        <f t="shared" si="0"/>
        <v>5111.32</v>
      </c>
    </row>
    <row r="14" spans="1:4" ht="12.75">
      <c r="A14" s="9" t="s">
        <v>14</v>
      </c>
      <c r="B14" s="8">
        <v>26665.79</v>
      </c>
      <c r="C14" s="13">
        <v>23075.05</v>
      </c>
      <c r="D14" s="8">
        <f t="shared" si="0"/>
        <v>3590.7400000000016</v>
      </c>
    </row>
    <row r="15" spans="1:4" ht="12.75">
      <c r="A15" s="9" t="s">
        <v>15</v>
      </c>
      <c r="B15" s="8">
        <v>26665.79</v>
      </c>
      <c r="C15" s="13">
        <v>24058.84</v>
      </c>
      <c r="D15" s="8">
        <f t="shared" si="0"/>
        <v>2606.9500000000007</v>
      </c>
    </row>
    <row r="16" spans="1:4" ht="12.75">
      <c r="A16" s="9" t="s">
        <v>16</v>
      </c>
      <c r="B16" s="8">
        <v>26665.79</v>
      </c>
      <c r="C16" s="13">
        <v>19196.87</v>
      </c>
      <c r="D16" s="8">
        <f t="shared" si="0"/>
        <v>7468.920000000002</v>
      </c>
    </row>
    <row r="17" spans="1:4" ht="12.75">
      <c r="A17" s="9" t="s">
        <v>17</v>
      </c>
      <c r="B17" s="8">
        <v>26665.79</v>
      </c>
      <c r="C17" s="13">
        <v>29722.72</v>
      </c>
      <c r="D17" s="8">
        <f t="shared" si="0"/>
        <v>-3056.9300000000003</v>
      </c>
    </row>
    <row r="18" spans="1:4" ht="12.75">
      <c r="A18" s="9" t="s">
        <v>18</v>
      </c>
      <c r="B18" s="8">
        <v>26665.79</v>
      </c>
      <c r="C18" s="13">
        <v>20361.87</v>
      </c>
      <c r="D18" s="8">
        <f t="shared" si="0"/>
        <v>6303.920000000002</v>
      </c>
    </row>
    <row r="19" spans="1:4" ht="12.75">
      <c r="A19" s="9" t="s">
        <v>19</v>
      </c>
      <c r="B19" s="8">
        <v>26665.79</v>
      </c>
      <c r="C19" s="13">
        <v>25888.02</v>
      </c>
      <c r="D19" s="8">
        <f t="shared" si="0"/>
        <v>777.7700000000004</v>
      </c>
    </row>
    <row r="20" spans="1:4" ht="12.75">
      <c r="A20" s="9" t="s">
        <v>20</v>
      </c>
      <c r="B20" s="13">
        <v>29324.39</v>
      </c>
      <c r="C20" s="13">
        <v>32543.79</v>
      </c>
      <c r="D20" s="8">
        <f t="shared" si="0"/>
        <v>-3219.4000000000015</v>
      </c>
    </row>
    <row r="21" spans="1:4" ht="12.75">
      <c r="A21" s="9" t="s">
        <v>21</v>
      </c>
      <c r="B21" s="13">
        <v>29324.39</v>
      </c>
      <c r="C21" s="13">
        <v>29609.09</v>
      </c>
      <c r="D21" s="13">
        <f t="shared" si="0"/>
        <v>-284.7000000000007</v>
      </c>
    </row>
    <row r="22" spans="1:4" ht="12.75">
      <c r="A22" s="9" t="s">
        <v>22</v>
      </c>
      <c r="B22" s="13">
        <v>29324.39</v>
      </c>
      <c r="C22" s="13">
        <v>29866.44</v>
      </c>
      <c r="D22" s="13">
        <f t="shared" si="0"/>
        <v>-542.0499999999993</v>
      </c>
    </row>
    <row r="23" spans="1:4" ht="12.75">
      <c r="A23" s="9" t="s">
        <v>23</v>
      </c>
      <c r="B23" s="13">
        <v>29324.39</v>
      </c>
      <c r="C23" s="13">
        <v>26478.39</v>
      </c>
      <c r="D23" s="13">
        <f t="shared" si="0"/>
        <v>2846</v>
      </c>
    </row>
    <row r="24" spans="1:4" ht="12.75">
      <c r="A24" s="7" t="s">
        <v>24</v>
      </c>
      <c r="B24" s="8">
        <f>SUM(B25:B36)</f>
        <v>176.88000000000002</v>
      </c>
      <c r="C24" s="8">
        <f>SUM(C25:C36)</f>
        <v>135.43</v>
      </c>
      <c r="D24" s="8">
        <f>SUM(D25:D36)</f>
        <v>41.45000000000001</v>
      </c>
    </row>
    <row r="25" spans="1:4" ht="12.75">
      <c r="A25" s="9" t="s">
        <v>25</v>
      </c>
      <c r="B25" s="8">
        <v>14.74</v>
      </c>
      <c r="C25" s="8">
        <v>12.83</v>
      </c>
      <c r="D25" s="8">
        <f aca="true" t="shared" si="1" ref="D25:D36">B25-C25</f>
        <v>1.9100000000000001</v>
      </c>
    </row>
    <row r="26" spans="1:4" ht="12.75">
      <c r="A26" s="9" t="s">
        <v>13</v>
      </c>
      <c r="B26" s="8">
        <v>14.74</v>
      </c>
      <c r="C26" s="8">
        <v>5.85</v>
      </c>
      <c r="D26" s="8">
        <f t="shared" si="1"/>
        <v>8.89</v>
      </c>
    </row>
    <row r="27" spans="1:4" ht="12.75">
      <c r="A27" s="9" t="s">
        <v>14</v>
      </c>
      <c r="B27" s="8">
        <v>14.74</v>
      </c>
      <c r="C27" s="13">
        <v>11.21</v>
      </c>
      <c r="D27" s="8">
        <f t="shared" si="1"/>
        <v>3.5299999999999994</v>
      </c>
    </row>
    <row r="28" spans="1:4" ht="12.75">
      <c r="A28" s="9" t="s">
        <v>15</v>
      </c>
      <c r="B28" s="8">
        <v>14.74</v>
      </c>
      <c r="C28" s="13">
        <v>8.53</v>
      </c>
      <c r="D28" s="8">
        <f t="shared" si="1"/>
        <v>6.210000000000001</v>
      </c>
    </row>
    <row r="29" spans="1:4" ht="12.75">
      <c r="A29" s="9" t="s">
        <v>16</v>
      </c>
      <c r="B29" s="8">
        <v>14.74</v>
      </c>
      <c r="C29" s="13">
        <v>8.53</v>
      </c>
      <c r="D29" s="8">
        <f t="shared" si="1"/>
        <v>6.210000000000001</v>
      </c>
    </row>
    <row r="30" spans="1:4" ht="12.75">
      <c r="A30" s="9" t="s">
        <v>17</v>
      </c>
      <c r="B30" s="8">
        <v>14.74</v>
      </c>
      <c r="C30" s="13">
        <v>8.53</v>
      </c>
      <c r="D30" s="8">
        <f t="shared" si="1"/>
        <v>6.210000000000001</v>
      </c>
    </row>
    <row r="31" spans="1:4" ht="12.75">
      <c r="A31" s="9" t="s">
        <v>18</v>
      </c>
      <c r="B31" s="8">
        <v>14.74</v>
      </c>
      <c r="C31" s="13">
        <v>8.53</v>
      </c>
      <c r="D31" s="8">
        <f t="shared" si="1"/>
        <v>6.210000000000001</v>
      </c>
    </row>
    <row r="32" spans="1:4" ht="12.75">
      <c r="A32" s="9" t="s">
        <v>19</v>
      </c>
      <c r="B32" s="8">
        <v>14.74</v>
      </c>
      <c r="C32" s="13">
        <v>19.58</v>
      </c>
      <c r="D32" s="8">
        <f t="shared" si="1"/>
        <v>-4.839999999999998</v>
      </c>
    </row>
    <row r="33" spans="1:4" ht="12.75">
      <c r="A33" s="9" t="s">
        <v>20</v>
      </c>
      <c r="B33" s="8">
        <v>14.74</v>
      </c>
      <c r="C33" s="13">
        <v>13.18</v>
      </c>
      <c r="D33" s="8">
        <f t="shared" si="1"/>
        <v>1.5600000000000005</v>
      </c>
    </row>
    <row r="34" spans="1:4" ht="12.75">
      <c r="A34" s="9" t="s">
        <v>21</v>
      </c>
      <c r="B34" s="8">
        <v>14.74</v>
      </c>
      <c r="C34" s="13">
        <v>13</v>
      </c>
      <c r="D34" s="13">
        <f t="shared" si="1"/>
        <v>1.7400000000000002</v>
      </c>
    </row>
    <row r="35" spans="1:4" ht="12.75">
      <c r="A35" s="9" t="s">
        <v>22</v>
      </c>
      <c r="B35" s="8">
        <v>14.74</v>
      </c>
      <c r="C35" s="13">
        <v>12.88</v>
      </c>
      <c r="D35" s="13">
        <f t="shared" si="1"/>
        <v>1.8599999999999994</v>
      </c>
    </row>
    <row r="36" spans="1:4" ht="12.75">
      <c r="A36" s="9" t="s">
        <v>23</v>
      </c>
      <c r="B36" s="8">
        <v>14.74</v>
      </c>
      <c r="C36" s="13">
        <v>12.78</v>
      </c>
      <c r="D36" s="13">
        <f t="shared" si="1"/>
        <v>1.9600000000000009</v>
      </c>
    </row>
    <row r="37" spans="1:4" ht="12.75">
      <c r="A37" s="9" t="s">
        <v>26</v>
      </c>
      <c r="B37" s="8">
        <f>B11+B24</f>
        <v>330684.4600000001</v>
      </c>
      <c r="C37" s="8">
        <f>C11+C24</f>
        <v>303395.77999999997</v>
      </c>
      <c r="D37" s="8">
        <f>D11+D24</f>
        <v>27288.680000000008</v>
      </c>
    </row>
    <row r="39" spans="1:4" ht="12.75">
      <c r="A39" t="s">
        <v>27</v>
      </c>
      <c r="D39" s="12">
        <f>D37</f>
        <v>27288.680000000008</v>
      </c>
    </row>
    <row r="41" spans="1:4" ht="12.75">
      <c r="A41" s="11" t="s">
        <v>28</v>
      </c>
      <c r="D41" s="12">
        <f>D42+D43</f>
        <v>23735.7</v>
      </c>
    </row>
    <row r="42" spans="1:4" ht="12.75" hidden="1">
      <c r="A42" s="11" t="s">
        <v>29</v>
      </c>
      <c r="D42" s="12">
        <f>(1.33*4*D3)+(1.21*8*D3)</f>
        <v>19912.5</v>
      </c>
    </row>
    <row r="43" spans="1:4" ht="12.75" hidden="1">
      <c r="A43" s="11" t="s">
        <v>30</v>
      </c>
      <c r="D43" s="12">
        <f>(0.24*12*D3)</f>
        <v>3823.2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773.7*0.22*4+(773.7*2.5)</f>
        <v>2615.1059999999998</v>
      </c>
    </row>
    <row r="46" spans="1:4" ht="12.75">
      <c r="A46" s="11" t="s">
        <v>80</v>
      </c>
      <c r="D46" s="12">
        <f>(2.66*4*D3)+(2.42*8*D3)</f>
        <v>39825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2867.4</v>
      </c>
    </row>
    <row r="49" spans="1:4" ht="12.75">
      <c r="A49" s="11" t="s">
        <v>33</v>
      </c>
      <c r="D49" s="12">
        <f>(1.45*4*D3)+(1.32*8*D3)</f>
        <v>21717.9</v>
      </c>
    </row>
    <row r="50" spans="1:4" ht="12.75">
      <c r="A50" s="11" t="s">
        <v>34</v>
      </c>
      <c r="D50" s="12">
        <f>(4.94*4*D3)+(4.51*8*D3)</f>
        <v>74127.6</v>
      </c>
    </row>
    <row r="51" spans="1:4" ht="12.75">
      <c r="A51" s="11" t="s">
        <v>35</v>
      </c>
      <c r="D51" s="12">
        <f>(0.29*4*D3)+(0.26*8*D3)</f>
        <v>4301.1</v>
      </c>
    </row>
    <row r="52" spans="1:4" ht="12.75">
      <c r="A52" s="11" t="s">
        <v>78</v>
      </c>
      <c r="D52" s="12">
        <f>(3.87*4*D3)+(3.52*8*D3)</f>
        <v>57932.100000000006</v>
      </c>
    </row>
    <row r="53" spans="1:4" ht="12.75">
      <c r="A53" s="11" t="s">
        <v>36</v>
      </c>
      <c r="D53" s="12">
        <f>2.25*12*D4</f>
        <v>891</v>
      </c>
    </row>
    <row r="54" spans="1:4" ht="12.75">
      <c r="A54" s="11" t="s">
        <v>37</v>
      </c>
      <c r="D54" s="12">
        <v>176479</v>
      </c>
    </row>
    <row r="55" spans="1:4" ht="12.75">
      <c r="A55" s="11" t="s">
        <v>38</v>
      </c>
      <c r="D55" s="12">
        <f>(0.91*4*D3)+(0.83*8*D3)</f>
        <v>13646.7</v>
      </c>
    </row>
    <row r="56" spans="1:4" ht="12.75">
      <c r="A56" s="14"/>
      <c r="D56" s="12"/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D41+D44+D45+D46+D47+D48+D49+D50+D51+D52+D53+D54+D55+D56</f>
        <v>418138.606</v>
      </c>
    </row>
    <row r="59" spans="1:4" ht="12.75">
      <c r="A59" s="11"/>
      <c r="D59" s="12"/>
    </row>
    <row r="60" spans="1:4" ht="12.75">
      <c r="A60" t="s">
        <v>65</v>
      </c>
      <c r="D60" s="12">
        <f>C37-D58</f>
        <v>-114742.82600000006</v>
      </c>
    </row>
    <row r="63" ht="12.75">
      <c r="H63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40"/>
  <dimension ref="A1:H60"/>
  <sheetViews>
    <sheetView zoomScalePageLayoutView="0" workbookViewId="0" topLeftCell="A1">
      <selection activeCell="I61" sqref="I61"/>
    </sheetView>
  </sheetViews>
  <sheetFormatPr defaultColWidth="9.140625" defaultRowHeight="12.75"/>
  <cols>
    <col min="1" max="1" width="14.00390625" style="0" customWidth="1"/>
    <col min="2" max="2" width="15.8515625" style="0" customWidth="1"/>
    <col min="3" max="3" width="14.421875" style="0" customWidth="1"/>
    <col min="4" max="4" width="14.140625" style="0" customWidth="1"/>
    <col min="5" max="5" width="5.57421875" style="0" customWidth="1"/>
    <col min="6" max="6" width="5.7109375" style="0" customWidth="1"/>
  </cols>
  <sheetData>
    <row r="1" spans="1:7" ht="12.75">
      <c r="A1" s="1" t="s">
        <v>0</v>
      </c>
      <c r="B1" s="2" t="s">
        <v>1</v>
      </c>
      <c r="C1" s="1" t="s">
        <v>54</v>
      </c>
      <c r="D1" s="1"/>
      <c r="E1" s="1" t="s">
        <v>2</v>
      </c>
      <c r="F1" s="3">
        <v>120</v>
      </c>
      <c r="G1">
        <v>2016</v>
      </c>
    </row>
    <row r="3" spans="1:5" ht="12.75">
      <c r="A3" t="s">
        <v>3</v>
      </c>
      <c r="D3" s="4">
        <v>1549.2</v>
      </c>
      <c r="E3" s="5" t="s">
        <v>40</v>
      </c>
    </row>
    <row r="4" spans="1:5" ht="12.75">
      <c r="A4" t="s">
        <v>4</v>
      </c>
      <c r="D4" s="4">
        <v>27</v>
      </c>
      <c r="E4" s="5"/>
    </row>
    <row r="5" spans="1:5" ht="12.75">
      <c r="A5" t="s">
        <v>5</v>
      </c>
      <c r="D5" s="4">
        <v>66</v>
      </c>
      <c r="E5" s="5" t="s">
        <v>6</v>
      </c>
    </row>
    <row r="6" spans="1:5" ht="12.75">
      <c r="A6" t="s">
        <v>7</v>
      </c>
      <c r="D6" s="4">
        <v>170.1</v>
      </c>
      <c r="E6" s="5" t="s">
        <v>40</v>
      </c>
    </row>
    <row r="7" spans="1:5" ht="12.75">
      <c r="A7" t="s">
        <v>8</v>
      </c>
      <c r="D7" s="4">
        <v>235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325545.45</v>
      </c>
      <c r="C11" s="8">
        <f>SUM(C12:C23)</f>
        <v>311874.04000000004</v>
      </c>
      <c r="D11" s="8">
        <f>SUM(D12:D23)</f>
        <v>13671.410000000007</v>
      </c>
    </row>
    <row r="12" spans="1:4" ht="12.75">
      <c r="A12" s="9" t="s">
        <v>25</v>
      </c>
      <c r="B12" s="8">
        <v>31084.96</v>
      </c>
      <c r="C12" s="8">
        <v>27563.81</v>
      </c>
      <c r="D12" s="8">
        <f aca="true" t="shared" si="0" ref="D12:D23">B12-C12</f>
        <v>3521.149999999998</v>
      </c>
    </row>
    <row r="13" spans="1:4" ht="12.75">
      <c r="A13" s="9" t="s">
        <v>13</v>
      </c>
      <c r="B13" s="8">
        <v>31084.96</v>
      </c>
      <c r="C13" s="13">
        <v>26543.33</v>
      </c>
      <c r="D13" s="8">
        <f t="shared" si="0"/>
        <v>4541.629999999997</v>
      </c>
    </row>
    <row r="14" spans="1:4" ht="12.75">
      <c r="A14" s="9" t="s">
        <v>14</v>
      </c>
      <c r="B14" s="8">
        <v>31084.96</v>
      </c>
      <c r="C14" s="13">
        <v>25365.9</v>
      </c>
      <c r="D14" s="8">
        <f t="shared" si="0"/>
        <v>5719.059999999998</v>
      </c>
    </row>
    <row r="15" spans="1:4" ht="12.75">
      <c r="A15" s="9" t="s">
        <v>15</v>
      </c>
      <c r="B15" s="8">
        <v>31084.96</v>
      </c>
      <c r="C15" s="13">
        <v>25723.67</v>
      </c>
      <c r="D15" s="8">
        <f t="shared" si="0"/>
        <v>5361.290000000001</v>
      </c>
    </row>
    <row r="16" spans="1:4" ht="12.75">
      <c r="A16" s="9" t="s">
        <v>16</v>
      </c>
      <c r="B16" s="8">
        <v>31084.96</v>
      </c>
      <c r="C16" s="13">
        <v>25723.17</v>
      </c>
      <c r="D16" s="8">
        <f t="shared" si="0"/>
        <v>5361.790000000001</v>
      </c>
    </row>
    <row r="17" spans="1:4" ht="12.75">
      <c r="A17" s="9" t="s">
        <v>17</v>
      </c>
      <c r="B17" s="8">
        <v>31084.97</v>
      </c>
      <c r="C17" s="13">
        <v>33420.09</v>
      </c>
      <c r="D17" s="8">
        <f t="shared" si="0"/>
        <v>-2335.1199999999953</v>
      </c>
    </row>
    <row r="18" spans="1:4" ht="12.75">
      <c r="A18" s="9" t="s">
        <v>18</v>
      </c>
      <c r="B18" s="8">
        <v>31084.97</v>
      </c>
      <c r="C18" s="13">
        <v>27841</v>
      </c>
      <c r="D18" s="8">
        <f t="shared" si="0"/>
        <v>3243.970000000001</v>
      </c>
    </row>
    <row r="19" spans="1:4" ht="12.75">
      <c r="A19" s="9" t="s">
        <v>19</v>
      </c>
      <c r="B19" s="8">
        <v>31084.97</v>
      </c>
      <c r="C19" s="13">
        <v>24892.76</v>
      </c>
      <c r="D19" s="8">
        <f t="shared" si="0"/>
        <v>6192.210000000003</v>
      </c>
    </row>
    <row r="20" spans="1:4" ht="12.75">
      <c r="A20" s="9" t="s">
        <v>20</v>
      </c>
      <c r="B20" s="13">
        <v>34570.23</v>
      </c>
      <c r="C20" s="13">
        <v>36284.79</v>
      </c>
      <c r="D20" s="8">
        <f t="shared" si="0"/>
        <v>-1714.5599999999977</v>
      </c>
    </row>
    <row r="21" spans="1:4" ht="12.75">
      <c r="A21" s="9" t="s">
        <v>21</v>
      </c>
      <c r="B21" s="13">
        <v>34173.15</v>
      </c>
      <c r="C21" s="13">
        <v>31623.43</v>
      </c>
      <c r="D21" s="13">
        <f t="shared" si="0"/>
        <v>2549.720000000001</v>
      </c>
    </row>
    <row r="22" spans="1:4" ht="12.75">
      <c r="A22" s="9" t="s">
        <v>22</v>
      </c>
      <c r="B22" s="13">
        <f>31074.95-6098.52</f>
        <v>24976.43</v>
      </c>
      <c r="C22" s="13">
        <v>24165</v>
      </c>
      <c r="D22" s="13">
        <f t="shared" si="0"/>
        <v>811.4300000000003</v>
      </c>
    </row>
    <row r="23" spans="1:4" ht="12.75">
      <c r="A23" s="9" t="s">
        <v>23</v>
      </c>
      <c r="B23" s="13">
        <f>28255.58-45109.65</f>
        <v>-16854.07</v>
      </c>
      <c r="C23" s="13">
        <v>2727.09</v>
      </c>
      <c r="D23" s="13">
        <f t="shared" si="0"/>
        <v>-19581.16</v>
      </c>
    </row>
    <row r="24" spans="1:4" ht="12.75">
      <c r="A24" s="7" t="s">
        <v>24</v>
      </c>
      <c r="B24" s="8">
        <f>SUM(B25:B36)</f>
        <v>304.74</v>
      </c>
      <c r="C24" s="8">
        <f>SUM(C25:C36)</f>
        <v>216.02999999999997</v>
      </c>
      <c r="D24" s="8">
        <f>SUM(D25:D36)</f>
        <v>88.71000000000001</v>
      </c>
    </row>
    <row r="25" spans="1:4" ht="12.75">
      <c r="A25" s="9" t="s">
        <v>25</v>
      </c>
      <c r="B25" s="8">
        <v>25.29</v>
      </c>
      <c r="C25" s="8">
        <v>20.05</v>
      </c>
      <c r="D25" s="8">
        <f aca="true" t="shared" si="1" ref="D25:D36">B25-C25</f>
        <v>5.239999999999998</v>
      </c>
    </row>
    <row r="26" spans="1:4" ht="12.75">
      <c r="A26" s="9" t="s">
        <v>13</v>
      </c>
      <c r="B26" s="8">
        <v>25.29</v>
      </c>
      <c r="C26" s="13">
        <v>16.99</v>
      </c>
      <c r="D26" s="8">
        <f t="shared" si="1"/>
        <v>8.3</v>
      </c>
    </row>
    <row r="27" spans="1:4" ht="12.75">
      <c r="A27" s="9" t="s">
        <v>14</v>
      </c>
      <c r="B27" s="8">
        <v>25.29</v>
      </c>
      <c r="C27" s="13">
        <v>17.33</v>
      </c>
      <c r="D27" s="8">
        <f t="shared" si="1"/>
        <v>7.960000000000001</v>
      </c>
    </row>
    <row r="28" spans="1:4" ht="12.75">
      <c r="A28" s="9" t="s">
        <v>15</v>
      </c>
      <c r="B28" s="8">
        <v>25.29</v>
      </c>
      <c r="C28" s="13">
        <v>17.33</v>
      </c>
      <c r="D28" s="8">
        <f t="shared" si="1"/>
        <v>7.960000000000001</v>
      </c>
    </row>
    <row r="29" spans="1:4" ht="12.75">
      <c r="A29" s="9" t="s">
        <v>16</v>
      </c>
      <c r="B29" s="8">
        <v>25.29</v>
      </c>
      <c r="C29" s="13">
        <v>17.33</v>
      </c>
      <c r="D29" s="8">
        <f t="shared" si="1"/>
        <v>7.960000000000001</v>
      </c>
    </row>
    <row r="30" spans="1:4" ht="12.75">
      <c r="A30" s="9" t="s">
        <v>17</v>
      </c>
      <c r="B30" s="8">
        <v>25.29</v>
      </c>
      <c r="C30" s="13">
        <v>20.46</v>
      </c>
      <c r="D30" s="8">
        <f t="shared" si="1"/>
        <v>4.829999999999998</v>
      </c>
    </row>
    <row r="31" spans="1:4" ht="12.75">
      <c r="A31" s="9" t="s">
        <v>18</v>
      </c>
      <c r="B31" s="8">
        <v>25.29</v>
      </c>
      <c r="C31" s="13">
        <v>18.33</v>
      </c>
      <c r="D31" s="8">
        <f t="shared" si="1"/>
        <v>6.960000000000001</v>
      </c>
    </row>
    <row r="32" spans="1:4" ht="12.75">
      <c r="A32" s="9" t="s">
        <v>19</v>
      </c>
      <c r="B32" s="8">
        <v>25.29</v>
      </c>
      <c r="C32" s="13">
        <v>17.33</v>
      </c>
      <c r="D32" s="8">
        <f t="shared" si="1"/>
        <v>7.960000000000001</v>
      </c>
    </row>
    <row r="33" spans="1:4" ht="12.75">
      <c r="A33" s="9" t="s">
        <v>20</v>
      </c>
      <c r="B33" s="8">
        <v>26.55</v>
      </c>
      <c r="C33" s="13">
        <v>20.2</v>
      </c>
      <c r="D33" s="8">
        <f t="shared" si="1"/>
        <v>6.350000000000001</v>
      </c>
    </row>
    <row r="34" spans="1:4" ht="12.75">
      <c r="A34" s="9" t="s">
        <v>21</v>
      </c>
      <c r="B34" s="8">
        <v>25.29</v>
      </c>
      <c r="C34" s="13">
        <v>20.2</v>
      </c>
      <c r="D34" s="13">
        <f t="shared" si="1"/>
        <v>5.09</v>
      </c>
    </row>
    <row r="35" spans="1:4" ht="12.75">
      <c r="A35" s="9" t="s">
        <v>22</v>
      </c>
      <c r="B35" s="8">
        <v>25.29</v>
      </c>
      <c r="C35" s="13">
        <v>22.62</v>
      </c>
      <c r="D35" s="13">
        <f t="shared" si="1"/>
        <v>2.669999999999998</v>
      </c>
    </row>
    <row r="36" spans="1:4" ht="12.75">
      <c r="A36" s="9" t="s">
        <v>23</v>
      </c>
      <c r="B36" s="8">
        <v>25.29</v>
      </c>
      <c r="C36" s="13">
        <v>7.86</v>
      </c>
      <c r="D36" s="13">
        <f t="shared" si="1"/>
        <v>17.43</v>
      </c>
    </row>
    <row r="37" spans="1:4" ht="12.75">
      <c r="A37" s="9" t="s">
        <v>26</v>
      </c>
      <c r="B37" s="8">
        <f>B11+B24</f>
        <v>325850.19</v>
      </c>
      <c r="C37" s="8">
        <f>C11+C24</f>
        <v>312090.07000000007</v>
      </c>
      <c r="D37" s="8">
        <f>D11+D24</f>
        <v>13760.120000000006</v>
      </c>
    </row>
    <row r="39" spans="1:4" ht="12.75">
      <c r="A39" t="s">
        <v>27</v>
      </c>
      <c r="D39" s="12">
        <f>D37</f>
        <v>13760.120000000006</v>
      </c>
    </row>
    <row r="41" spans="1:4" ht="12.75">
      <c r="A41" s="11" t="s">
        <v>28</v>
      </c>
      <c r="D41" s="12">
        <f>D42+D43</f>
        <v>27699.696</v>
      </c>
    </row>
    <row r="42" spans="1:4" ht="12.75" hidden="1">
      <c r="A42" s="11" t="s">
        <v>29</v>
      </c>
      <c r="D42" s="12">
        <f>(1.33*4*D3)+(1.21*8*D3)</f>
        <v>23238</v>
      </c>
    </row>
    <row r="43" spans="1:4" ht="12.75" hidden="1">
      <c r="A43" s="11" t="s">
        <v>30</v>
      </c>
      <c r="D43" s="12">
        <f>(0.24*12*D3)</f>
        <v>4461.696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773.7*0.22*4+(773.7*2.5)</f>
        <v>2615.1059999999998</v>
      </c>
    </row>
    <row r="46" spans="1:4" ht="12.75">
      <c r="A46" s="11" t="s">
        <v>80</v>
      </c>
      <c r="D46" s="12">
        <f>(2.66*4*D3)+(2.42*8*D3)</f>
        <v>46476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3346.2720000000004</v>
      </c>
    </row>
    <row r="49" spans="1:4" ht="12.75">
      <c r="A49" s="11" t="s">
        <v>33</v>
      </c>
      <c r="D49" s="12">
        <f>(1.45*4*D3)+(1.32*8*D3)</f>
        <v>25344.912000000004</v>
      </c>
    </row>
    <row r="50" spans="1:4" ht="12.75">
      <c r="A50" s="11" t="s">
        <v>34</v>
      </c>
      <c r="D50" s="12">
        <f>(4.94*4*D3)+(4.51*8*D3)</f>
        <v>86507.32800000001</v>
      </c>
    </row>
    <row r="51" spans="1:4" ht="12.75">
      <c r="A51" s="11" t="s">
        <v>35</v>
      </c>
      <c r="D51" s="12">
        <f>(0.29*4*D3)+(0.26*8*D3)</f>
        <v>5019.408</v>
      </c>
    </row>
    <row r="52" spans="1:4" ht="12.75">
      <c r="A52" s="11" t="s">
        <v>78</v>
      </c>
      <c r="D52" s="12">
        <f>(3.87*4*D3)+(3.52*8*D3)</f>
        <v>67607.088</v>
      </c>
    </row>
    <row r="53" spans="1:4" ht="12.75">
      <c r="A53" s="11" t="s">
        <v>36</v>
      </c>
      <c r="D53" s="12">
        <f>2.25*12*D4</f>
        <v>729</v>
      </c>
    </row>
    <row r="54" spans="1:4" ht="12.75">
      <c r="A54" s="11" t="s">
        <v>37</v>
      </c>
      <c r="D54" s="12">
        <v>34178</v>
      </c>
    </row>
    <row r="55" spans="1:4" ht="12.75">
      <c r="A55" s="11" t="s">
        <v>38</v>
      </c>
      <c r="D55" s="12">
        <f>(0.91*4*D3)+(0.83*8*D3)</f>
        <v>15925.776000000002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D41+D44+D45+D46+D47+D48+D49+D50+D51+D52+D53+D54+D55+D56</f>
        <v>315448.586</v>
      </c>
    </row>
    <row r="59" spans="1:8" ht="12.75">
      <c r="A59" s="11"/>
      <c r="D59" s="12"/>
      <c r="H59" s="22"/>
    </row>
    <row r="60" spans="1:4" ht="12.75">
      <c r="A60" t="s">
        <v>69</v>
      </c>
      <c r="D60" s="12">
        <f>C37-D58</f>
        <v>-3358.515999999945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45"/>
  <dimension ref="A1:H86"/>
  <sheetViews>
    <sheetView zoomScalePageLayoutView="0" workbookViewId="0" topLeftCell="A1">
      <selection activeCell="K84" sqref="K84"/>
    </sheetView>
  </sheetViews>
  <sheetFormatPr defaultColWidth="9.140625" defaultRowHeight="12.75"/>
  <cols>
    <col min="1" max="1" width="14.28125" style="0" customWidth="1"/>
    <col min="2" max="2" width="13.8515625" style="0" customWidth="1"/>
    <col min="3" max="3" width="13.57421875" style="0" customWidth="1"/>
    <col min="4" max="4" width="13.421875" style="0" customWidth="1"/>
  </cols>
  <sheetData>
    <row r="1" spans="1:7" ht="12.75">
      <c r="A1" s="1" t="s">
        <v>0</v>
      </c>
      <c r="B1" s="2" t="s">
        <v>1</v>
      </c>
      <c r="C1" s="1" t="s">
        <v>54</v>
      </c>
      <c r="D1" s="1"/>
      <c r="E1" s="1" t="s">
        <v>2</v>
      </c>
      <c r="F1" s="3">
        <v>134</v>
      </c>
      <c r="G1">
        <v>2016</v>
      </c>
    </row>
    <row r="3" spans="1:5" ht="12.75">
      <c r="A3" t="s">
        <v>3</v>
      </c>
      <c r="D3" s="4">
        <v>1573.7</v>
      </c>
      <c r="E3" s="5" t="s">
        <v>40</v>
      </c>
    </row>
    <row r="4" spans="1:5" ht="12.75">
      <c r="A4" t="s">
        <v>4</v>
      </c>
      <c r="D4" s="4">
        <v>27</v>
      </c>
      <c r="E4" s="5"/>
    </row>
    <row r="5" spans="1:5" ht="12.75">
      <c r="A5" t="s">
        <v>5</v>
      </c>
      <c r="D5" s="4">
        <v>67</v>
      </c>
      <c r="E5" s="5" t="s">
        <v>6</v>
      </c>
    </row>
    <row r="6" spans="1:5" ht="12.75">
      <c r="A6" t="s">
        <v>7</v>
      </c>
      <c r="D6" s="4">
        <v>144.6</v>
      </c>
      <c r="E6" s="5" t="s">
        <v>40</v>
      </c>
    </row>
    <row r="7" spans="1:5" ht="12.75">
      <c r="A7" t="s">
        <v>8</v>
      </c>
      <c r="D7" s="4">
        <v>711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370188.54000000004</v>
      </c>
      <c r="C11" s="8">
        <f>SUM(C12:C23)</f>
        <v>353642.55</v>
      </c>
      <c r="D11" s="8">
        <f>SUM(D12:D23)</f>
        <v>16545.990000000027</v>
      </c>
    </row>
    <row r="12" spans="1:4" ht="12.75">
      <c r="A12" s="9" t="s">
        <v>25</v>
      </c>
      <c r="B12" s="8">
        <f>30157.4-7.93</f>
        <v>30149.47</v>
      </c>
      <c r="C12" s="8">
        <v>26527.86</v>
      </c>
      <c r="D12" s="8">
        <f aca="true" t="shared" si="0" ref="D12:D23">B12-C12</f>
        <v>3621.6100000000006</v>
      </c>
    </row>
    <row r="13" spans="1:4" ht="12.75">
      <c r="A13" s="9" t="s">
        <v>13</v>
      </c>
      <c r="B13" s="8">
        <v>30157.4</v>
      </c>
      <c r="C13" s="13">
        <v>27918.97</v>
      </c>
      <c r="D13" s="8">
        <f t="shared" si="0"/>
        <v>2238.4300000000003</v>
      </c>
    </row>
    <row r="14" spans="1:4" ht="12.75">
      <c r="A14" s="9" t="s">
        <v>14</v>
      </c>
      <c r="B14" s="8">
        <f>30157.4-3723.37</f>
        <v>26434.030000000002</v>
      </c>
      <c r="C14" s="13">
        <v>26575.57</v>
      </c>
      <c r="D14" s="8">
        <f t="shared" si="0"/>
        <v>-141.53999999999724</v>
      </c>
    </row>
    <row r="15" spans="1:4" ht="12.75">
      <c r="A15" s="9" t="s">
        <v>15</v>
      </c>
      <c r="B15" s="8">
        <v>30157.4</v>
      </c>
      <c r="C15" s="13">
        <v>32132.57</v>
      </c>
      <c r="D15" s="8">
        <f t="shared" si="0"/>
        <v>-1975.1699999999983</v>
      </c>
    </row>
    <row r="16" spans="1:4" ht="12.75">
      <c r="A16" s="9" t="s">
        <v>16</v>
      </c>
      <c r="B16" s="8">
        <v>30157.4</v>
      </c>
      <c r="C16" s="13">
        <v>25931.2</v>
      </c>
      <c r="D16" s="8">
        <f t="shared" si="0"/>
        <v>4226.200000000001</v>
      </c>
    </row>
    <row r="17" spans="1:4" ht="12.75">
      <c r="A17" s="9" t="s">
        <v>17</v>
      </c>
      <c r="B17" s="8">
        <v>30157.4</v>
      </c>
      <c r="C17" s="13">
        <v>34605.14</v>
      </c>
      <c r="D17" s="8">
        <f t="shared" si="0"/>
        <v>-4447.739999999998</v>
      </c>
    </row>
    <row r="18" spans="1:4" ht="12.75">
      <c r="A18" s="9" t="s">
        <v>18</v>
      </c>
      <c r="B18" s="8">
        <v>30157.4</v>
      </c>
      <c r="C18" s="13">
        <v>29083.06</v>
      </c>
      <c r="D18" s="8">
        <f t="shared" si="0"/>
        <v>1074.3400000000001</v>
      </c>
    </row>
    <row r="19" spans="1:4" ht="12.75">
      <c r="A19" s="9" t="s">
        <v>19</v>
      </c>
      <c r="B19" s="8">
        <v>30157.4</v>
      </c>
      <c r="C19" s="13">
        <v>25434</v>
      </c>
      <c r="D19" s="8">
        <f t="shared" si="0"/>
        <v>4723.4000000000015</v>
      </c>
    </row>
    <row r="20" spans="1:4" ht="12.75">
      <c r="A20" s="9" t="s">
        <v>20</v>
      </c>
      <c r="B20" s="13">
        <v>33165.16</v>
      </c>
      <c r="C20" s="13">
        <v>27698.33</v>
      </c>
      <c r="D20" s="8">
        <f t="shared" si="0"/>
        <v>5466.830000000002</v>
      </c>
    </row>
    <row r="21" spans="1:4" ht="12.75">
      <c r="A21" s="9" t="s">
        <v>21</v>
      </c>
      <c r="B21" s="13">
        <v>33165.16</v>
      </c>
      <c r="C21" s="13">
        <v>31759.35</v>
      </c>
      <c r="D21" s="13">
        <f t="shared" si="0"/>
        <v>1405.810000000005</v>
      </c>
    </row>
    <row r="22" spans="1:4" ht="12.75">
      <c r="A22" s="9" t="s">
        <v>22</v>
      </c>
      <c r="B22" s="13">
        <v>33165.16</v>
      </c>
      <c r="C22" s="13">
        <v>35166.81</v>
      </c>
      <c r="D22" s="13">
        <f t="shared" si="0"/>
        <v>-2001.6499999999942</v>
      </c>
    </row>
    <row r="23" spans="1:4" ht="12.75">
      <c r="A23" s="9" t="s">
        <v>23</v>
      </c>
      <c r="B23" s="13">
        <v>33165.16</v>
      </c>
      <c r="C23" s="13">
        <v>30809.69</v>
      </c>
      <c r="D23" s="13">
        <f t="shared" si="0"/>
        <v>2355.470000000005</v>
      </c>
    </row>
    <row r="24" spans="1:4" ht="12.75">
      <c r="A24" s="7" t="s">
        <v>24</v>
      </c>
      <c r="B24" s="8">
        <f>SUM(B25:B36)</f>
        <v>183.35999999999999</v>
      </c>
      <c r="C24" s="8">
        <f>SUM(C25:C36)</f>
        <v>170.96</v>
      </c>
      <c r="D24" s="8">
        <f>SUM(D25:D36)</f>
        <v>12.399999999999986</v>
      </c>
    </row>
    <row r="25" spans="1:4" ht="12.75">
      <c r="A25" s="9" t="s">
        <v>25</v>
      </c>
      <c r="B25" s="8">
        <v>15.28</v>
      </c>
      <c r="C25" s="8">
        <v>7.22</v>
      </c>
      <c r="D25" s="8">
        <f aca="true" t="shared" si="1" ref="D25:D32">B25-C25</f>
        <v>8.059999999999999</v>
      </c>
    </row>
    <row r="26" spans="1:4" ht="12.75">
      <c r="A26" s="9" t="s">
        <v>13</v>
      </c>
      <c r="B26" s="8">
        <v>15.28</v>
      </c>
      <c r="C26" s="13">
        <v>7.22</v>
      </c>
      <c r="D26" s="8">
        <f t="shared" si="1"/>
        <v>8.059999999999999</v>
      </c>
    </row>
    <row r="27" spans="1:4" ht="12.75">
      <c r="A27" s="9" t="s">
        <v>14</v>
      </c>
      <c r="B27" s="8">
        <v>15.28</v>
      </c>
      <c r="C27" s="13">
        <v>7.22</v>
      </c>
      <c r="D27" s="8">
        <f t="shared" si="1"/>
        <v>8.059999999999999</v>
      </c>
    </row>
    <row r="28" spans="1:4" ht="12.75">
      <c r="A28" s="9" t="s">
        <v>15</v>
      </c>
      <c r="B28" s="8">
        <v>15.28</v>
      </c>
      <c r="C28" s="13">
        <v>33.52</v>
      </c>
      <c r="D28" s="8">
        <f t="shared" si="1"/>
        <v>-18.240000000000002</v>
      </c>
    </row>
    <row r="29" spans="1:4" ht="12.75">
      <c r="A29" s="9" t="s">
        <v>16</v>
      </c>
      <c r="B29" s="8">
        <v>15.28</v>
      </c>
      <c r="C29" s="13">
        <v>3.7</v>
      </c>
      <c r="D29" s="8">
        <f t="shared" si="1"/>
        <v>11.579999999999998</v>
      </c>
    </row>
    <row r="30" spans="1:4" ht="12.75">
      <c r="A30" s="9" t="s">
        <v>17</v>
      </c>
      <c r="B30" s="8">
        <v>15.28</v>
      </c>
      <c r="C30" s="13">
        <v>40.89</v>
      </c>
      <c r="D30" s="8">
        <f t="shared" si="1"/>
        <v>-25.61</v>
      </c>
    </row>
    <row r="31" spans="1:4" ht="12.75">
      <c r="A31" s="9" t="s">
        <v>18</v>
      </c>
      <c r="B31" s="8">
        <v>15.28</v>
      </c>
      <c r="C31" s="13">
        <v>7.22</v>
      </c>
      <c r="D31" s="8">
        <f t="shared" si="1"/>
        <v>8.059999999999999</v>
      </c>
    </row>
    <row r="32" spans="1:4" ht="12.75">
      <c r="A32" s="9" t="s">
        <v>19</v>
      </c>
      <c r="B32" s="8">
        <v>15.28</v>
      </c>
      <c r="C32" s="13">
        <v>7.22</v>
      </c>
      <c r="D32" s="8">
        <f t="shared" si="1"/>
        <v>8.059999999999999</v>
      </c>
    </row>
    <row r="33" spans="1:4" ht="12.75">
      <c r="A33" s="9" t="s">
        <v>20</v>
      </c>
      <c r="B33" s="8">
        <v>15.28</v>
      </c>
      <c r="C33" s="13">
        <v>10.91</v>
      </c>
      <c r="D33" s="8">
        <f>B33-C33</f>
        <v>4.369999999999999</v>
      </c>
    </row>
    <row r="34" spans="1:4" ht="12.75">
      <c r="A34" s="9" t="s">
        <v>21</v>
      </c>
      <c r="B34" s="8">
        <v>15.28</v>
      </c>
      <c r="C34" s="13">
        <v>17.78</v>
      </c>
      <c r="D34" s="13">
        <f>B34-C34</f>
        <v>-2.5000000000000018</v>
      </c>
    </row>
    <row r="35" spans="1:4" ht="12.75">
      <c r="A35" s="9" t="s">
        <v>22</v>
      </c>
      <c r="B35" s="8">
        <v>15.28</v>
      </c>
      <c r="C35" s="13">
        <v>14.1</v>
      </c>
      <c r="D35" s="13">
        <f>B35-C35</f>
        <v>1.1799999999999997</v>
      </c>
    </row>
    <row r="36" spans="1:4" ht="12.75">
      <c r="A36" s="9" t="s">
        <v>23</v>
      </c>
      <c r="B36" s="8">
        <v>15.28</v>
      </c>
      <c r="C36" s="13">
        <v>13.96</v>
      </c>
      <c r="D36" s="13">
        <f>B36-C36</f>
        <v>1.3199999999999985</v>
      </c>
    </row>
    <row r="37" spans="1:4" ht="12.75" hidden="1">
      <c r="A37" s="7" t="s">
        <v>41</v>
      </c>
      <c r="B37" s="8">
        <f>SUM(B38:B49)</f>
        <v>0</v>
      </c>
      <c r="C37" s="8">
        <f>SUM(C38:C49)</f>
        <v>0</v>
      </c>
      <c r="D37" s="8">
        <f>SUM(D38:D49)</f>
        <v>0</v>
      </c>
    </row>
    <row r="38" spans="1:4" ht="12.75" hidden="1">
      <c r="A38" s="9" t="s">
        <v>25</v>
      </c>
      <c r="B38" s="8"/>
      <c r="C38" s="8"/>
      <c r="D38" s="8">
        <f aca="true" t="shared" si="2" ref="D38:D44">B38-C38</f>
        <v>0</v>
      </c>
    </row>
    <row r="39" spans="1:4" ht="12.75" hidden="1">
      <c r="A39" s="9" t="s">
        <v>13</v>
      </c>
      <c r="B39" s="13"/>
      <c r="C39" s="13"/>
      <c r="D39" s="8">
        <f t="shared" si="2"/>
        <v>0</v>
      </c>
    </row>
    <row r="40" spans="1:4" ht="12.75" hidden="1">
      <c r="A40" s="9" t="s">
        <v>14</v>
      </c>
      <c r="B40" s="13"/>
      <c r="C40" s="13"/>
      <c r="D40" s="8">
        <f t="shared" si="2"/>
        <v>0</v>
      </c>
    </row>
    <row r="41" spans="1:4" ht="12.75" hidden="1">
      <c r="A41" s="9" t="s">
        <v>15</v>
      </c>
      <c r="B41" s="13"/>
      <c r="C41" s="13"/>
      <c r="D41" s="8">
        <f t="shared" si="2"/>
        <v>0</v>
      </c>
    </row>
    <row r="42" spans="1:4" ht="12.75" hidden="1">
      <c r="A42" s="9" t="s">
        <v>16</v>
      </c>
      <c r="B42" s="13"/>
      <c r="C42" s="13"/>
      <c r="D42" s="8">
        <f t="shared" si="2"/>
        <v>0</v>
      </c>
    </row>
    <row r="43" spans="1:4" ht="12.75" hidden="1">
      <c r="A43" s="9" t="s">
        <v>17</v>
      </c>
      <c r="B43" s="13"/>
      <c r="C43" s="13"/>
      <c r="D43" s="8">
        <f t="shared" si="2"/>
        <v>0</v>
      </c>
    </row>
    <row r="44" spans="1:4" ht="12.75" hidden="1">
      <c r="A44" s="9" t="s">
        <v>18</v>
      </c>
      <c r="B44" s="13"/>
      <c r="C44" s="13"/>
      <c r="D44" s="8">
        <f t="shared" si="2"/>
        <v>0</v>
      </c>
    </row>
    <row r="45" spans="1:4" ht="12.75" hidden="1">
      <c r="A45" s="9" t="s">
        <v>19</v>
      </c>
      <c r="B45" s="8"/>
      <c r="C45" s="8"/>
      <c r="D45" s="8">
        <f>B45-C45</f>
        <v>0</v>
      </c>
    </row>
    <row r="46" spans="1:4" ht="12.75" hidden="1">
      <c r="A46" s="9" t="s">
        <v>20</v>
      </c>
      <c r="B46" s="13"/>
      <c r="C46" s="13"/>
      <c r="D46" s="8">
        <f>B46-C46</f>
        <v>0</v>
      </c>
    </row>
    <row r="47" spans="1:4" ht="12.75" hidden="1">
      <c r="A47" s="9" t="s">
        <v>21</v>
      </c>
      <c r="B47" s="13"/>
      <c r="C47" s="13"/>
      <c r="D47" s="13">
        <f>B47-C47</f>
        <v>0</v>
      </c>
    </row>
    <row r="48" spans="1:4" ht="12.75" hidden="1">
      <c r="A48" s="9" t="s">
        <v>22</v>
      </c>
      <c r="B48" s="13"/>
      <c r="C48" s="13"/>
      <c r="D48" s="13">
        <f>B48-C48</f>
        <v>0</v>
      </c>
    </row>
    <row r="49" spans="1:4" ht="12.75" hidden="1">
      <c r="A49" s="9" t="s">
        <v>23</v>
      </c>
      <c r="B49" s="13"/>
      <c r="C49" s="13"/>
      <c r="D49" s="13">
        <f>B49-C49</f>
        <v>0</v>
      </c>
    </row>
    <row r="50" spans="1:4" ht="12.75" hidden="1">
      <c r="A50" s="7" t="s">
        <v>82</v>
      </c>
      <c r="B50" s="8">
        <f>SUM(B51:B62)</f>
        <v>0</v>
      </c>
      <c r="C50" s="8">
        <f>SUM(C51:C62)</f>
        <v>0</v>
      </c>
      <c r="D50" s="8">
        <f>SUM(D51:D62)</f>
        <v>0</v>
      </c>
    </row>
    <row r="51" spans="1:4" ht="12.75" hidden="1">
      <c r="A51" s="9" t="s">
        <v>25</v>
      </c>
      <c r="B51" s="8"/>
      <c r="C51" s="8"/>
      <c r="D51" s="8">
        <f aca="true" t="shared" si="3" ref="D51:D57">B51-C51</f>
        <v>0</v>
      </c>
    </row>
    <row r="52" spans="1:4" ht="12.75" hidden="1">
      <c r="A52" s="9" t="s">
        <v>13</v>
      </c>
      <c r="B52" s="13"/>
      <c r="C52" s="13"/>
      <c r="D52" s="8">
        <f t="shared" si="3"/>
        <v>0</v>
      </c>
    </row>
    <row r="53" spans="1:4" ht="12.75" hidden="1">
      <c r="A53" s="9" t="s">
        <v>14</v>
      </c>
      <c r="B53" s="13"/>
      <c r="C53" s="13"/>
      <c r="D53" s="8">
        <f t="shared" si="3"/>
        <v>0</v>
      </c>
    </row>
    <row r="54" spans="1:4" ht="12.75" hidden="1">
      <c r="A54" s="9" t="s">
        <v>15</v>
      </c>
      <c r="B54" s="13"/>
      <c r="C54" s="13"/>
      <c r="D54" s="8">
        <f t="shared" si="3"/>
        <v>0</v>
      </c>
    </row>
    <row r="55" spans="1:4" ht="12.75" hidden="1">
      <c r="A55" s="9" t="s">
        <v>16</v>
      </c>
      <c r="B55" s="13"/>
      <c r="C55" s="13"/>
      <c r="D55" s="8">
        <f t="shared" si="3"/>
        <v>0</v>
      </c>
    </row>
    <row r="56" spans="1:4" ht="12.75" hidden="1">
      <c r="A56" s="9" t="s">
        <v>17</v>
      </c>
      <c r="B56" s="13"/>
      <c r="C56" s="13"/>
      <c r="D56" s="8">
        <f t="shared" si="3"/>
        <v>0</v>
      </c>
    </row>
    <row r="57" spans="1:4" ht="12.75" hidden="1">
      <c r="A57" s="9" t="s">
        <v>18</v>
      </c>
      <c r="B57" s="13"/>
      <c r="C57" s="13"/>
      <c r="D57" s="8">
        <f t="shared" si="3"/>
        <v>0</v>
      </c>
    </row>
    <row r="58" spans="1:4" ht="12.75" hidden="1">
      <c r="A58" s="9" t="s">
        <v>19</v>
      </c>
      <c r="B58" s="8"/>
      <c r="C58" s="8"/>
      <c r="D58" s="8">
        <f>B58-C58</f>
        <v>0</v>
      </c>
    </row>
    <row r="59" spans="1:4" ht="12.75" hidden="1">
      <c r="A59" s="9" t="s">
        <v>20</v>
      </c>
      <c r="B59" s="13"/>
      <c r="C59" s="13"/>
      <c r="D59" s="8">
        <f>B59-C59</f>
        <v>0</v>
      </c>
    </row>
    <row r="60" spans="1:4" ht="12.75" hidden="1">
      <c r="A60" s="9" t="s">
        <v>21</v>
      </c>
      <c r="B60" s="13"/>
      <c r="C60" s="13"/>
      <c r="D60" s="13">
        <f>B60-C60</f>
        <v>0</v>
      </c>
    </row>
    <row r="61" spans="1:4" ht="12.75" hidden="1">
      <c r="A61" s="9" t="s">
        <v>22</v>
      </c>
      <c r="B61" s="13"/>
      <c r="C61" s="13"/>
      <c r="D61" s="13">
        <f>B61-C61</f>
        <v>0</v>
      </c>
    </row>
    <row r="62" spans="1:4" ht="12.75" hidden="1">
      <c r="A62" s="9" t="s">
        <v>23</v>
      </c>
      <c r="B62" s="13"/>
      <c r="C62" s="13"/>
      <c r="D62" s="13">
        <f>B62-C62</f>
        <v>0</v>
      </c>
    </row>
    <row r="63" spans="1:4" ht="12.75">
      <c r="A63" s="9" t="s">
        <v>26</v>
      </c>
      <c r="B63" s="8">
        <f>B11+B24</f>
        <v>370371.9</v>
      </c>
      <c r="C63" s="8">
        <f>C11+C24</f>
        <v>353813.51</v>
      </c>
      <c r="D63" s="8">
        <f>D11+D24</f>
        <v>16558.39000000003</v>
      </c>
    </row>
    <row r="65" spans="1:4" ht="12.75">
      <c r="A65" t="s">
        <v>27</v>
      </c>
      <c r="D65" s="12">
        <f>D63</f>
        <v>16558.39000000003</v>
      </c>
    </row>
    <row r="67" spans="1:4" ht="12.75">
      <c r="A67" s="11" t="s">
        <v>28</v>
      </c>
      <c r="D67" s="12">
        <f>D68+D69</f>
        <v>28137.756</v>
      </c>
    </row>
    <row r="68" spans="1:4" ht="12.75" hidden="1">
      <c r="A68" s="11" t="s">
        <v>29</v>
      </c>
      <c r="D68" s="12">
        <f>(1.33*4*D3)+(1.21*8*D3)</f>
        <v>23605.5</v>
      </c>
    </row>
    <row r="69" spans="1:4" ht="12.75" hidden="1">
      <c r="A69" s="11" t="s">
        <v>30</v>
      </c>
      <c r="D69" s="12">
        <f>(0.24*12*D3)</f>
        <v>4532.256</v>
      </c>
    </row>
    <row r="70" spans="1:4" ht="12.75" hidden="1">
      <c r="A70" s="11" t="s">
        <v>31</v>
      </c>
      <c r="D70" s="12">
        <v>0</v>
      </c>
    </row>
    <row r="71" spans="1:4" ht="12.75">
      <c r="A71" s="11" t="s">
        <v>77</v>
      </c>
      <c r="D71" s="12">
        <f>773.7*0.22*4+(773.7*2.5)</f>
        <v>2615.1059999999998</v>
      </c>
    </row>
    <row r="72" spans="1:4" ht="12.75">
      <c r="A72" s="11" t="s">
        <v>80</v>
      </c>
      <c r="D72" s="12">
        <f>(2.66*4*D3)+(2.42*8*D3)</f>
        <v>47211</v>
      </c>
    </row>
    <row r="73" spans="1:4" ht="12.75" hidden="1">
      <c r="A73" s="11" t="s">
        <v>32</v>
      </c>
      <c r="D73" s="12">
        <v>0</v>
      </c>
    </row>
    <row r="74" spans="1:4" ht="12.75">
      <c r="A74" s="11" t="s">
        <v>76</v>
      </c>
      <c r="D74" s="12">
        <f>(0.72*3*D3)</f>
        <v>3399.1920000000005</v>
      </c>
    </row>
    <row r="75" spans="1:4" ht="12.75">
      <c r="A75" s="11" t="s">
        <v>33</v>
      </c>
      <c r="D75" s="12">
        <f>(1.45*4*D3)+(1.32*8*D3)</f>
        <v>25745.732</v>
      </c>
    </row>
    <row r="76" spans="1:4" ht="12.75">
      <c r="A76" s="11" t="s">
        <v>34</v>
      </c>
      <c r="D76" s="12">
        <f>(4.94*4*D3)+(4.51*8*D3)</f>
        <v>87875.408</v>
      </c>
    </row>
    <row r="77" spans="1:4" ht="12.75">
      <c r="A77" s="11" t="s">
        <v>35</v>
      </c>
      <c r="D77" s="12">
        <f>(0.29*4*D3)+(0.26*8*D3)</f>
        <v>5098.7880000000005</v>
      </c>
    </row>
    <row r="78" spans="1:4" ht="12.75">
      <c r="A78" s="11" t="s">
        <v>78</v>
      </c>
      <c r="D78" s="12">
        <f>(3.87*4*D3)+(3.52*8*D3)</f>
        <v>68676.268</v>
      </c>
    </row>
    <row r="79" spans="1:4" ht="12.75">
      <c r="A79" s="11" t="s">
        <v>36</v>
      </c>
      <c r="D79" s="12">
        <f>2.25*12*D4</f>
        <v>729</v>
      </c>
    </row>
    <row r="80" spans="1:4" ht="12.75">
      <c r="A80" s="11" t="s">
        <v>37</v>
      </c>
      <c r="D80" s="12">
        <v>3840</v>
      </c>
    </row>
    <row r="81" spans="1:8" ht="12.75">
      <c r="A81" s="11" t="s">
        <v>38</v>
      </c>
      <c r="D81" s="12">
        <f>(0.58*4*D3)+(0.52*8*D3)</f>
        <v>10197.576000000001</v>
      </c>
      <c r="H81" s="22"/>
    </row>
    <row r="82" spans="1:4" ht="12.75" hidden="1">
      <c r="A82" s="14" t="s">
        <v>62</v>
      </c>
      <c r="D82" s="12">
        <v>0</v>
      </c>
    </row>
    <row r="83" spans="1:4" ht="12.75">
      <c r="A83" s="11"/>
      <c r="D83" s="12"/>
    </row>
    <row r="84" spans="1:4" ht="12.75">
      <c r="A84" s="11" t="s">
        <v>39</v>
      </c>
      <c r="D84" s="12">
        <f>D67+D70+D71+D72+D73+D74+D75+D76+D77+D78+D79+D80+D81+D82</f>
        <v>283525.826</v>
      </c>
    </row>
    <row r="85" spans="1:4" ht="12.75">
      <c r="A85" s="11"/>
      <c r="D85" s="12"/>
    </row>
    <row r="86" spans="1:4" ht="12.75">
      <c r="A86" t="s">
        <v>69</v>
      </c>
      <c r="D86" s="12">
        <f>C63-D84</f>
        <v>70287.68400000001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47"/>
  <dimension ref="A1:H60"/>
  <sheetViews>
    <sheetView zoomScalePageLayoutView="0" workbookViewId="0" topLeftCell="A28">
      <selection activeCell="G64" sqref="G64"/>
    </sheetView>
  </sheetViews>
  <sheetFormatPr defaultColWidth="9.140625" defaultRowHeight="12.75"/>
  <cols>
    <col min="1" max="1" width="14.140625" style="0" customWidth="1"/>
    <col min="2" max="2" width="13.8515625" style="0" customWidth="1"/>
    <col min="3" max="3" width="16.140625" style="0" customWidth="1"/>
    <col min="4" max="4" width="14.8515625" style="0" customWidth="1"/>
  </cols>
  <sheetData>
    <row r="1" spans="1:7" ht="12.75">
      <c r="A1" s="1" t="s">
        <v>0</v>
      </c>
      <c r="B1" s="2" t="s">
        <v>1</v>
      </c>
      <c r="C1" s="1" t="s">
        <v>54</v>
      </c>
      <c r="D1" s="1"/>
      <c r="E1" s="1" t="s">
        <v>2</v>
      </c>
      <c r="F1" s="3">
        <v>136</v>
      </c>
      <c r="G1">
        <v>2016</v>
      </c>
    </row>
    <row r="3" spans="1:5" ht="12.75">
      <c r="A3" t="s">
        <v>3</v>
      </c>
      <c r="D3" s="4">
        <v>2114</v>
      </c>
      <c r="E3" s="5" t="s">
        <v>40</v>
      </c>
    </row>
    <row r="4" spans="1:5" ht="12.75">
      <c r="A4" t="s">
        <v>4</v>
      </c>
      <c r="D4" s="4">
        <v>45</v>
      </c>
      <c r="E4" s="5"/>
    </row>
    <row r="5" spans="1:5" ht="12.75">
      <c r="A5" t="s">
        <v>5</v>
      </c>
      <c r="D5" s="4">
        <v>95</v>
      </c>
      <c r="E5" s="5" t="s">
        <v>6</v>
      </c>
    </row>
    <row r="6" spans="1:5" ht="12.75">
      <c r="A6" t="s">
        <v>7</v>
      </c>
      <c r="D6" s="4">
        <v>245.5</v>
      </c>
      <c r="E6" s="5" t="s">
        <v>40</v>
      </c>
    </row>
    <row r="7" spans="1:5" ht="12.75">
      <c r="A7" t="s">
        <v>8</v>
      </c>
      <c r="D7" s="4">
        <v>1734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505684.52000000014</v>
      </c>
      <c r="C11" s="8">
        <f>SUM(C12:C23)</f>
        <v>525593.37</v>
      </c>
      <c r="D11" s="8">
        <f>SUM(D12:D23)</f>
        <v>-19908.84999999997</v>
      </c>
    </row>
    <row r="12" spans="1:4" ht="12.75">
      <c r="A12" s="9" t="s">
        <v>25</v>
      </c>
      <c r="B12" s="8">
        <f>41458.01-145.2</f>
        <v>41312.810000000005</v>
      </c>
      <c r="C12" s="8">
        <v>39916.88</v>
      </c>
      <c r="D12" s="8">
        <f aca="true" t="shared" si="0" ref="D12:D23">B12-C12</f>
        <v>1395.9300000000076</v>
      </c>
    </row>
    <row r="13" spans="1:4" ht="12.75">
      <c r="A13" s="9" t="s">
        <v>13</v>
      </c>
      <c r="B13" s="8">
        <v>41458.01</v>
      </c>
      <c r="C13" s="13">
        <v>36394.15</v>
      </c>
      <c r="D13" s="8">
        <f t="shared" si="0"/>
        <v>5063.860000000001</v>
      </c>
    </row>
    <row r="14" spans="1:4" ht="12.75">
      <c r="A14" s="9" t="s">
        <v>14</v>
      </c>
      <c r="B14" s="8">
        <v>41458.01</v>
      </c>
      <c r="C14" s="13">
        <v>73668.06</v>
      </c>
      <c r="D14" s="8">
        <f t="shared" si="0"/>
        <v>-32210.049999999996</v>
      </c>
    </row>
    <row r="15" spans="1:4" ht="12.75">
      <c r="A15" s="9" t="s">
        <v>15</v>
      </c>
      <c r="B15" s="8">
        <v>41458.01</v>
      </c>
      <c r="C15" s="13">
        <v>46573.64</v>
      </c>
      <c r="D15" s="8">
        <f t="shared" si="0"/>
        <v>-5115.629999999997</v>
      </c>
    </row>
    <row r="16" spans="1:4" ht="12.75">
      <c r="A16" s="9" t="s">
        <v>16</v>
      </c>
      <c r="B16" s="8">
        <v>41458.01</v>
      </c>
      <c r="C16" s="13">
        <v>44625.11</v>
      </c>
      <c r="D16" s="8">
        <f t="shared" si="0"/>
        <v>-3167.0999999999985</v>
      </c>
    </row>
    <row r="17" spans="1:4" ht="12.75">
      <c r="A17" s="9" t="s">
        <v>17</v>
      </c>
      <c r="B17" s="8">
        <v>41458.01</v>
      </c>
      <c r="C17" s="13">
        <v>37411.4</v>
      </c>
      <c r="D17" s="8">
        <f t="shared" si="0"/>
        <v>4046.6100000000006</v>
      </c>
    </row>
    <row r="18" spans="1:4" ht="12.75">
      <c r="A18" s="9" t="s">
        <v>18</v>
      </c>
      <c r="B18" s="8">
        <v>41458.01</v>
      </c>
      <c r="C18" s="13">
        <v>40545.29</v>
      </c>
      <c r="D18" s="8">
        <f t="shared" si="0"/>
        <v>912.7200000000012</v>
      </c>
    </row>
    <row r="19" spans="1:4" ht="12.75">
      <c r="A19" s="9" t="s">
        <v>19</v>
      </c>
      <c r="B19" s="8">
        <v>41458.01</v>
      </c>
      <c r="C19" s="13">
        <v>37769.39</v>
      </c>
      <c r="D19" s="8">
        <f t="shared" si="0"/>
        <v>3688.6200000000026</v>
      </c>
    </row>
    <row r="20" spans="1:4" ht="12.75">
      <c r="A20" s="9" t="s">
        <v>20</v>
      </c>
      <c r="B20" s="8">
        <v>45591.41</v>
      </c>
      <c r="C20" s="13">
        <v>38684.43</v>
      </c>
      <c r="D20" s="8">
        <f t="shared" si="0"/>
        <v>6906.980000000003</v>
      </c>
    </row>
    <row r="21" spans="1:4" ht="12.75">
      <c r="A21" s="9" t="s">
        <v>21</v>
      </c>
      <c r="B21" s="8">
        <v>45591.41</v>
      </c>
      <c r="C21" s="13">
        <v>44553.26</v>
      </c>
      <c r="D21" s="13">
        <f t="shared" si="0"/>
        <v>1038.1500000000015</v>
      </c>
    </row>
    <row r="22" spans="1:4" ht="12.75">
      <c r="A22" s="9" t="s">
        <v>22</v>
      </c>
      <c r="B22" s="8">
        <f>45591.41-8200</f>
        <v>37391.41</v>
      </c>
      <c r="C22" s="13">
        <v>42242.91</v>
      </c>
      <c r="D22" s="13">
        <f t="shared" si="0"/>
        <v>-4851.5</v>
      </c>
    </row>
    <row r="23" spans="1:4" ht="12.75">
      <c r="A23" s="9" t="s">
        <v>23</v>
      </c>
      <c r="B23" s="8">
        <v>45591.41</v>
      </c>
      <c r="C23" s="13">
        <v>43208.85</v>
      </c>
      <c r="D23" s="13">
        <f t="shared" si="0"/>
        <v>2382.560000000005</v>
      </c>
    </row>
    <row r="24" spans="1:4" ht="12.75">
      <c r="A24" s="7" t="s">
        <v>24</v>
      </c>
      <c r="B24" s="8">
        <f>SUM(B25:B36)</f>
        <v>314.43</v>
      </c>
      <c r="C24" s="8">
        <f>SUM(C25:C36)</f>
        <v>297.80999999999995</v>
      </c>
      <c r="D24" s="8">
        <f>SUM(D25:D36)</f>
        <v>16.62</v>
      </c>
    </row>
    <row r="25" spans="1:4" ht="12.75">
      <c r="A25" s="9" t="s">
        <v>25</v>
      </c>
      <c r="B25" s="8">
        <v>28.67</v>
      </c>
      <c r="C25" s="8">
        <v>40.4</v>
      </c>
      <c r="D25" s="8">
        <f aca="true" t="shared" si="1" ref="D25:D36">B25-C25</f>
        <v>-11.729999999999997</v>
      </c>
    </row>
    <row r="26" spans="1:4" ht="12.75">
      <c r="A26" s="9" t="s">
        <v>13</v>
      </c>
      <c r="B26" s="8">
        <v>28.67</v>
      </c>
      <c r="C26" s="13">
        <v>23</v>
      </c>
      <c r="D26" s="8">
        <f t="shared" si="1"/>
        <v>5.670000000000002</v>
      </c>
    </row>
    <row r="27" spans="1:4" ht="12.75">
      <c r="A27" s="9" t="s">
        <v>14</v>
      </c>
      <c r="B27" s="8">
        <v>28.67</v>
      </c>
      <c r="C27" s="13">
        <v>28</v>
      </c>
      <c r="D27" s="8">
        <f t="shared" si="1"/>
        <v>0.6700000000000017</v>
      </c>
    </row>
    <row r="28" spans="1:4" ht="12.75">
      <c r="A28" s="9" t="s">
        <v>15</v>
      </c>
      <c r="B28" s="8">
        <v>25.38</v>
      </c>
      <c r="C28" s="13">
        <v>19.76</v>
      </c>
      <c r="D28" s="8">
        <f t="shared" si="1"/>
        <v>5.619999999999997</v>
      </c>
    </row>
    <row r="29" spans="1:4" ht="12.75">
      <c r="A29" s="9" t="s">
        <v>16</v>
      </c>
      <c r="B29" s="8">
        <v>25.38</v>
      </c>
      <c r="C29" s="13">
        <v>32.16</v>
      </c>
      <c r="D29" s="8">
        <f t="shared" si="1"/>
        <v>-6.779999999999998</v>
      </c>
    </row>
    <row r="30" spans="1:4" ht="12.75">
      <c r="A30" s="9" t="s">
        <v>17</v>
      </c>
      <c r="B30" s="8">
        <v>25.38</v>
      </c>
      <c r="C30" s="13">
        <v>18.81</v>
      </c>
      <c r="D30" s="8">
        <f t="shared" si="1"/>
        <v>6.57</v>
      </c>
    </row>
    <row r="31" spans="1:4" ht="12.75">
      <c r="A31" s="9" t="s">
        <v>18</v>
      </c>
      <c r="B31" s="8">
        <v>25.38</v>
      </c>
      <c r="C31" s="13">
        <v>25.33</v>
      </c>
      <c r="D31" s="8">
        <f t="shared" si="1"/>
        <v>0.05000000000000071</v>
      </c>
    </row>
    <row r="32" spans="1:4" ht="12.75">
      <c r="A32" s="9" t="s">
        <v>19</v>
      </c>
      <c r="B32" s="8">
        <v>25.38</v>
      </c>
      <c r="C32" s="13">
        <v>22.07</v>
      </c>
      <c r="D32" s="8">
        <f t="shared" si="1"/>
        <v>3.3099999999999987</v>
      </c>
    </row>
    <row r="33" spans="1:4" ht="12.75">
      <c r="A33" s="9" t="s">
        <v>20</v>
      </c>
      <c r="B33" s="8">
        <v>25.38</v>
      </c>
      <c r="C33" s="13">
        <v>22.07</v>
      </c>
      <c r="D33" s="8">
        <f t="shared" si="1"/>
        <v>3.3099999999999987</v>
      </c>
    </row>
    <row r="34" spans="1:4" ht="12.75">
      <c r="A34" s="9" t="s">
        <v>21</v>
      </c>
      <c r="B34" s="8">
        <v>25.38</v>
      </c>
      <c r="C34" s="13">
        <v>22.07</v>
      </c>
      <c r="D34" s="13">
        <f t="shared" si="1"/>
        <v>3.3099999999999987</v>
      </c>
    </row>
    <row r="35" spans="1:4" ht="12.75">
      <c r="A35" s="9" t="s">
        <v>22</v>
      </c>
      <c r="B35" s="8">
        <v>25.38</v>
      </c>
      <c r="C35" s="13">
        <v>22.07</v>
      </c>
      <c r="D35" s="13">
        <f t="shared" si="1"/>
        <v>3.3099999999999987</v>
      </c>
    </row>
    <row r="36" spans="1:4" ht="12.75">
      <c r="A36" s="9" t="s">
        <v>23</v>
      </c>
      <c r="B36" s="8">
        <v>25.38</v>
      </c>
      <c r="C36" s="13">
        <v>22.07</v>
      </c>
      <c r="D36" s="13">
        <f t="shared" si="1"/>
        <v>3.3099999999999987</v>
      </c>
    </row>
    <row r="37" spans="1:4" ht="12.75">
      <c r="A37" s="9" t="s">
        <v>26</v>
      </c>
      <c r="B37" s="8">
        <f>B11+B24</f>
        <v>505998.9500000001</v>
      </c>
      <c r="C37" s="8">
        <f>C11+C24</f>
        <v>525891.18</v>
      </c>
      <c r="D37" s="8">
        <f>D11+D24</f>
        <v>-19892.22999999997</v>
      </c>
    </row>
    <row r="39" spans="1:4" ht="12.75">
      <c r="A39" t="s">
        <v>27</v>
      </c>
      <c r="D39" s="12">
        <f>D37</f>
        <v>-19892.22999999997</v>
      </c>
    </row>
    <row r="41" spans="1:4" ht="12.75">
      <c r="A41" s="11" t="s">
        <v>28</v>
      </c>
      <c r="D41" s="12">
        <f>D42+D43</f>
        <v>37798.32</v>
      </c>
    </row>
    <row r="42" spans="1:4" ht="12.75" hidden="1">
      <c r="A42" s="11" t="s">
        <v>29</v>
      </c>
      <c r="D42" s="12">
        <f>(1.33*4*D3)+(1.21*8*D3)</f>
        <v>31710</v>
      </c>
    </row>
    <row r="43" spans="1:4" ht="12.75" hidden="1">
      <c r="A43" s="11" t="s">
        <v>30</v>
      </c>
      <c r="D43" s="12">
        <f>(0.24*12*D3)</f>
        <v>6088.32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773.7*0.22*4+(773.7*2.5)</f>
        <v>2615.1059999999998</v>
      </c>
    </row>
    <row r="46" spans="1:4" ht="12.75">
      <c r="A46" s="11" t="s">
        <v>80</v>
      </c>
      <c r="D46" s="12">
        <f>(2.66*4*D3)+(2.42*8*D3)</f>
        <v>63420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(0.72*3*D3)</f>
        <v>4566.240000000001</v>
      </c>
    </row>
    <row r="49" spans="1:4" ht="12.75">
      <c r="A49" s="11" t="s">
        <v>33</v>
      </c>
      <c r="D49" s="12">
        <f>(1.45*4*D3)+(1.32*8*D3)</f>
        <v>34585.04</v>
      </c>
    </row>
    <row r="50" spans="1:4" ht="12.75">
      <c r="A50" s="11" t="s">
        <v>34</v>
      </c>
      <c r="D50" s="12">
        <f>(4.94*4*D3)+(4.51*8*D3)</f>
        <v>118045.76000000001</v>
      </c>
    </row>
    <row r="51" spans="1:4" ht="12.75">
      <c r="A51" s="11" t="s">
        <v>35</v>
      </c>
      <c r="D51" s="12">
        <f>(0.29*4*D3)+(0.26*8*D3)</f>
        <v>6849.36</v>
      </c>
    </row>
    <row r="52" spans="1:4" ht="12.75">
      <c r="A52" s="11" t="s">
        <v>78</v>
      </c>
      <c r="D52" s="12">
        <f>(3.87*4*D3)+(3.52*8*D3)</f>
        <v>92254.95999999999</v>
      </c>
    </row>
    <row r="53" spans="1:4" ht="12.75">
      <c r="A53" s="11" t="s">
        <v>36</v>
      </c>
      <c r="D53" s="12">
        <f>2.25*12*D4</f>
        <v>1215</v>
      </c>
    </row>
    <row r="54" spans="1:4" ht="12.75">
      <c r="A54" s="11" t="s">
        <v>37</v>
      </c>
      <c r="D54" s="12">
        <v>6057</v>
      </c>
    </row>
    <row r="55" spans="1:8" ht="12.75">
      <c r="A55" s="11" t="s">
        <v>38</v>
      </c>
      <c r="D55" s="12">
        <f>(0.91*4*D3)+(0.83*8*D3)</f>
        <v>21731.92</v>
      </c>
      <c r="H55" s="22"/>
    </row>
    <row r="56" spans="1:8" ht="12.75" hidden="1">
      <c r="A56" s="14" t="s">
        <v>62</v>
      </c>
      <c r="D56" s="12">
        <v>0</v>
      </c>
      <c r="H56" s="22"/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D41+D44+D45+D46+D47+D48+D49+D50+D51+D52+D53+D54+D55+D56</f>
        <v>389138.70599999995</v>
      </c>
    </row>
    <row r="59" spans="1:4" ht="12.75">
      <c r="A59" s="11"/>
      <c r="D59" s="12"/>
    </row>
    <row r="60" spans="1:4" ht="12.75">
      <c r="A60" t="s">
        <v>69</v>
      </c>
      <c r="D60" s="12">
        <f>C37-D58</f>
        <v>136752.4740000001</v>
      </c>
    </row>
  </sheetData>
  <sheetProtection/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66"/>
  <dimension ref="A1:H62"/>
  <sheetViews>
    <sheetView zoomScalePageLayoutView="0" workbookViewId="0" topLeftCell="A32">
      <selection activeCell="D54" sqref="D54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2.57421875" style="0" customWidth="1"/>
    <col min="4" max="4" width="13.421875" style="0" customWidth="1"/>
    <col min="5" max="5" width="5.421875" style="0" customWidth="1"/>
    <col min="6" max="6" width="4.57421875" style="0" customWidth="1"/>
  </cols>
  <sheetData>
    <row r="1" spans="1:7" ht="12.75">
      <c r="A1" s="1" t="s">
        <v>0</v>
      </c>
      <c r="B1" s="2" t="s">
        <v>1</v>
      </c>
      <c r="C1" s="1" t="s">
        <v>74</v>
      </c>
      <c r="D1" s="1"/>
      <c r="E1" s="1" t="s">
        <v>2</v>
      </c>
      <c r="F1" s="3">
        <v>33</v>
      </c>
      <c r="G1">
        <v>2016</v>
      </c>
    </row>
    <row r="3" spans="1:5" ht="12.75">
      <c r="A3" t="s">
        <v>3</v>
      </c>
      <c r="D3" s="4">
        <v>908.5</v>
      </c>
      <c r="E3" s="5" t="s">
        <v>40</v>
      </c>
    </row>
    <row r="4" spans="1:5" ht="12.75">
      <c r="A4" t="s">
        <v>4</v>
      </c>
      <c r="D4" s="4">
        <v>22</v>
      </c>
      <c r="E4" s="5"/>
    </row>
    <row r="5" spans="1:5" ht="12.75">
      <c r="A5" t="s">
        <v>5</v>
      </c>
      <c r="D5" s="4">
        <v>45</v>
      </c>
      <c r="E5" s="5" t="s">
        <v>6</v>
      </c>
    </row>
    <row r="6" spans="1:5" ht="12.75">
      <c r="A6" t="s">
        <v>7</v>
      </c>
      <c r="D6" s="4">
        <v>41.5</v>
      </c>
      <c r="E6" s="5" t="s">
        <v>40</v>
      </c>
    </row>
    <row r="7" spans="1:5" ht="12.75">
      <c r="A7" t="s">
        <v>8</v>
      </c>
      <c r="D7" s="4">
        <v>2052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196497.14000000004</v>
      </c>
      <c r="C11" s="8">
        <f>SUM(C12:C23)</f>
        <v>199972.13</v>
      </c>
      <c r="D11" s="8">
        <f>SUM(D12:D23)</f>
        <v>-3474.989999999987</v>
      </c>
    </row>
    <row r="12" spans="1:4" ht="12.75">
      <c r="A12" s="9" t="s">
        <v>25</v>
      </c>
      <c r="B12" s="8">
        <f>16396.63-262.42</f>
        <v>16134.210000000001</v>
      </c>
      <c r="C12" s="8">
        <v>31124.32</v>
      </c>
      <c r="D12" s="8">
        <f aca="true" t="shared" si="0" ref="D12:D23">B12-C12</f>
        <v>-14990.109999999999</v>
      </c>
    </row>
    <row r="13" spans="1:4" ht="12.75">
      <c r="A13" s="9" t="s">
        <v>13</v>
      </c>
      <c r="B13" s="8">
        <v>16396.63</v>
      </c>
      <c r="C13" s="13">
        <v>12571.81</v>
      </c>
      <c r="D13" s="8">
        <f t="shared" si="0"/>
        <v>3824.8200000000015</v>
      </c>
    </row>
    <row r="14" spans="1:4" ht="12.75">
      <c r="A14" s="9" t="s">
        <v>14</v>
      </c>
      <c r="B14" s="8">
        <v>16396.63</v>
      </c>
      <c r="C14" s="13">
        <v>12241.58</v>
      </c>
      <c r="D14" s="8">
        <f t="shared" si="0"/>
        <v>4155.050000000001</v>
      </c>
    </row>
    <row r="15" spans="1:4" ht="12.75">
      <c r="A15" s="9" t="s">
        <v>15</v>
      </c>
      <c r="B15" s="8">
        <v>16396.63</v>
      </c>
      <c r="C15" s="13">
        <v>18228.11</v>
      </c>
      <c r="D15" s="8">
        <f t="shared" si="0"/>
        <v>-1831.4799999999996</v>
      </c>
    </row>
    <row r="16" spans="1:4" ht="12.75">
      <c r="A16" s="9" t="s">
        <v>16</v>
      </c>
      <c r="B16" s="8">
        <v>16396.63</v>
      </c>
      <c r="C16" s="13">
        <v>16367.29</v>
      </c>
      <c r="D16" s="8">
        <f t="shared" si="0"/>
        <v>29.340000000000146</v>
      </c>
    </row>
    <row r="17" spans="1:4" ht="12.75">
      <c r="A17" s="9" t="s">
        <v>17</v>
      </c>
      <c r="B17" s="8">
        <v>16396.63</v>
      </c>
      <c r="C17" s="13">
        <v>16228.13</v>
      </c>
      <c r="D17" s="8">
        <f t="shared" si="0"/>
        <v>168.50000000000182</v>
      </c>
    </row>
    <row r="18" spans="1:4" ht="12.75">
      <c r="A18" s="9" t="s">
        <v>18</v>
      </c>
      <c r="B18" s="8">
        <v>16396.63</v>
      </c>
      <c r="C18" s="13">
        <v>10802.97</v>
      </c>
      <c r="D18" s="8">
        <f t="shared" si="0"/>
        <v>5593.660000000002</v>
      </c>
    </row>
    <row r="19" spans="1:4" ht="12.75">
      <c r="A19" s="9" t="s">
        <v>19</v>
      </c>
      <c r="B19" s="8">
        <v>16396.63</v>
      </c>
      <c r="C19" s="13">
        <v>23363.29</v>
      </c>
      <c r="D19" s="8">
        <f t="shared" si="0"/>
        <v>-6966.66</v>
      </c>
    </row>
    <row r="20" spans="1:4" ht="12.75">
      <c r="A20" s="9" t="s">
        <v>20</v>
      </c>
      <c r="B20" s="8">
        <v>16396.63</v>
      </c>
      <c r="C20" s="13">
        <v>15297.15</v>
      </c>
      <c r="D20" s="8">
        <f t="shared" si="0"/>
        <v>1099.4800000000014</v>
      </c>
    </row>
    <row r="21" spans="1:4" ht="12.75">
      <c r="A21" s="9" t="s">
        <v>21</v>
      </c>
      <c r="B21" s="8">
        <v>16396.63</v>
      </c>
      <c r="C21" s="13">
        <v>15419.08</v>
      </c>
      <c r="D21" s="13">
        <f t="shared" si="0"/>
        <v>977.5500000000011</v>
      </c>
    </row>
    <row r="22" spans="1:4" ht="12.75">
      <c r="A22" s="9" t="s">
        <v>22</v>
      </c>
      <c r="B22" s="8">
        <v>16396.63</v>
      </c>
      <c r="C22" s="13">
        <v>13861.75</v>
      </c>
      <c r="D22" s="13">
        <f t="shared" si="0"/>
        <v>2534.880000000001</v>
      </c>
    </row>
    <row r="23" spans="1:4" ht="12.75">
      <c r="A23" s="9" t="s">
        <v>23</v>
      </c>
      <c r="B23" s="8">
        <v>16396.63</v>
      </c>
      <c r="C23" s="13">
        <v>14466.65</v>
      </c>
      <c r="D23" s="13">
        <f t="shared" si="0"/>
        <v>1929.9800000000014</v>
      </c>
    </row>
    <row r="24" spans="1:4" ht="12.75">
      <c r="A24" s="7" t="s">
        <v>24</v>
      </c>
      <c r="B24" s="8">
        <f>SUM(B25:B36)</f>
        <v>90.72000000000001</v>
      </c>
      <c r="C24" s="8">
        <f>SUM(C25:C36)</f>
        <v>161.78000000000006</v>
      </c>
      <c r="D24" s="8">
        <f>SUM(D25:D36)</f>
        <v>-71.06000000000003</v>
      </c>
    </row>
    <row r="25" spans="1:4" ht="11.25" customHeight="1">
      <c r="A25" s="9" t="s">
        <v>25</v>
      </c>
      <c r="B25" s="8">
        <v>8.98</v>
      </c>
      <c r="C25" s="8">
        <v>47.85</v>
      </c>
      <c r="D25" s="8">
        <f aca="true" t="shared" si="1" ref="D25:D36">B25-C25</f>
        <v>-38.870000000000005</v>
      </c>
    </row>
    <row r="26" spans="1:4" ht="12.75">
      <c r="A26" s="9" t="s">
        <v>13</v>
      </c>
      <c r="B26" s="8">
        <v>8.98</v>
      </c>
      <c r="C26" s="8">
        <v>52.01</v>
      </c>
      <c r="D26" s="8">
        <f t="shared" si="1"/>
        <v>-43.03</v>
      </c>
    </row>
    <row r="27" spans="1:4" ht="12.75">
      <c r="A27" s="9" t="s">
        <v>14</v>
      </c>
      <c r="B27" s="8">
        <v>8.98</v>
      </c>
      <c r="C27" s="8">
        <v>6.15</v>
      </c>
      <c r="D27" s="8">
        <f t="shared" si="1"/>
        <v>2.83</v>
      </c>
    </row>
    <row r="28" spans="1:4" ht="12.75">
      <c r="A28" s="9" t="s">
        <v>15</v>
      </c>
      <c r="B28" s="8">
        <v>8.98</v>
      </c>
      <c r="C28" s="8">
        <v>6.15</v>
      </c>
      <c r="D28" s="8">
        <f t="shared" si="1"/>
        <v>2.83</v>
      </c>
    </row>
    <row r="29" spans="1:4" ht="12.75">
      <c r="A29" s="9" t="s">
        <v>16</v>
      </c>
      <c r="B29" s="8">
        <v>8.98</v>
      </c>
      <c r="C29" s="8">
        <v>6.15</v>
      </c>
      <c r="D29" s="8">
        <f t="shared" si="1"/>
        <v>2.83</v>
      </c>
    </row>
    <row r="30" spans="1:4" ht="12.75">
      <c r="A30" s="9" t="s">
        <v>17</v>
      </c>
      <c r="B30" s="8">
        <v>8.98</v>
      </c>
      <c r="C30" s="8">
        <v>6.15</v>
      </c>
      <c r="D30" s="8">
        <f t="shared" si="1"/>
        <v>2.83</v>
      </c>
    </row>
    <row r="31" spans="1:4" ht="12.75">
      <c r="A31" s="9" t="s">
        <v>18</v>
      </c>
      <c r="B31" s="8">
        <v>6.14</v>
      </c>
      <c r="C31" s="8">
        <v>0</v>
      </c>
      <c r="D31" s="8">
        <f t="shared" si="1"/>
        <v>6.14</v>
      </c>
    </row>
    <row r="32" spans="1:4" ht="12.75">
      <c r="A32" s="9" t="s">
        <v>19</v>
      </c>
      <c r="B32" s="8">
        <v>6.14</v>
      </c>
      <c r="C32" s="8">
        <v>10.5</v>
      </c>
      <c r="D32" s="8">
        <f t="shared" si="1"/>
        <v>-4.36</v>
      </c>
    </row>
    <row r="33" spans="1:4" ht="12.75">
      <c r="A33" s="9" t="s">
        <v>20</v>
      </c>
      <c r="B33" s="8">
        <v>6.14</v>
      </c>
      <c r="C33" s="8">
        <v>7.62</v>
      </c>
      <c r="D33" s="8">
        <f t="shared" si="1"/>
        <v>-1.4800000000000004</v>
      </c>
    </row>
    <row r="34" spans="1:4" ht="12.75">
      <c r="A34" s="9" t="s">
        <v>21</v>
      </c>
      <c r="B34" s="8">
        <v>6.14</v>
      </c>
      <c r="C34" s="8">
        <v>5.96</v>
      </c>
      <c r="D34" s="13">
        <f t="shared" si="1"/>
        <v>0.17999999999999972</v>
      </c>
    </row>
    <row r="35" spans="1:4" ht="12.75">
      <c r="A35" s="9" t="s">
        <v>22</v>
      </c>
      <c r="B35" s="8">
        <v>6.14</v>
      </c>
      <c r="C35" s="8">
        <v>6.62</v>
      </c>
      <c r="D35" s="13">
        <f t="shared" si="1"/>
        <v>-0.4800000000000004</v>
      </c>
    </row>
    <row r="36" spans="1:4" ht="12.75">
      <c r="A36" s="9" t="s">
        <v>23</v>
      </c>
      <c r="B36" s="8">
        <v>6.14</v>
      </c>
      <c r="C36" s="8">
        <v>6.62</v>
      </c>
      <c r="D36" s="13">
        <f t="shared" si="1"/>
        <v>-0.4800000000000004</v>
      </c>
    </row>
    <row r="37" spans="1:4" ht="12.75">
      <c r="A37" s="9" t="s">
        <v>26</v>
      </c>
      <c r="B37" s="8">
        <f>B11+B24</f>
        <v>196587.86000000004</v>
      </c>
      <c r="C37" s="8">
        <f>C11+C24</f>
        <v>200133.91</v>
      </c>
      <c r="D37" s="8">
        <f>D11+D24</f>
        <v>-3546.049999999987</v>
      </c>
    </row>
    <row r="39" spans="1:4" ht="12.75">
      <c r="A39" t="s">
        <v>27</v>
      </c>
      <c r="D39" s="12">
        <f>D37</f>
        <v>-3546.049999999987</v>
      </c>
    </row>
    <row r="41" spans="1:4" ht="12.75">
      <c r="A41" s="11" t="s">
        <v>28</v>
      </c>
      <c r="D41" s="12">
        <f>D42+D43</f>
        <v>16243.98</v>
      </c>
    </row>
    <row r="42" spans="1:4" ht="12.75" customHeight="1" hidden="1">
      <c r="A42" s="11" t="s">
        <v>29</v>
      </c>
      <c r="D42" s="12">
        <f>(1.33*4*D3)+(1.21*8*D3)</f>
        <v>13627.5</v>
      </c>
    </row>
    <row r="43" spans="1:4" ht="12.75" customHeight="1" hidden="1">
      <c r="A43" s="11" t="s">
        <v>30</v>
      </c>
      <c r="D43" s="12">
        <f>(0.24*12*D3)</f>
        <v>2616.48</v>
      </c>
    </row>
    <row r="44" spans="1:4" ht="12.75" customHeight="1" hidden="1">
      <c r="A44" s="11" t="s">
        <v>31</v>
      </c>
      <c r="D44" s="12">
        <v>0</v>
      </c>
    </row>
    <row r="45" spans="1:4" ht="12.75">
      <c r="A45" s="11" t="s">
        <v>77</v>
      </c>
      <c r="D45" s="12">
        <f>(0.5*1*D3)+(0.55*1*D3)+(0.6*1*D3)</f>
        <v>1499.025</v>
      </c>
    </row>
    <row r="46" spans="1:4" ht="12.75">
      <c r="A46" s="11" t="s">
        <v>80</v>
      </c>
      <c r="D46" s="12">
        <f>(2.66*4*D3)+(2.42*8*D3)</f>
        <v>27255</v>
      </c>
    </row>
    <row r="47" spans="1:4" ht="12.75" customHeight="1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(0.72*1*D3)+(0.79*1*D3)</f>
        <v>1371.835</v>
      </c>
    </row>
    <row r="49" spans="1:4" ht="12.75">
      <c r="A49" s="11" t="s">
        <v>33</v>
      </c>
      <c r="D49" s="12">
        <f>(1.45*4*D3)+(1.32*8*D3)</f>
        <v>14863.060000000001</v>
      </c>
    </row>
    <row r="50" spans="1:4" ht="12.75">
      <c r="A50" s="11" t="s">
        <v>34</v>
      </c>
      <c r="D50" s="12">
        <f>(4.94*4*D3)+(4.51*8*D3)</f>
        <v>50730.64</v>
      </c>
    </row>
    <row r="51" spans="1:4" ht="12.75">
      <c r="A51" s="11" t="s">
        <v>35</v>
      </c>
      <c r="D51" s="12">
        <f>(0.29*4*D3)+(0.26*8*D3)</f>
        <v>2943.54</v>
      </c>
    </row>
    <row r="52" spans="1:4" ht="12.75">
      <c r="A52" s="11" t="s">
        <v>75</v>
      </c>
      <c r="D52" s="12">
        <f>(3.87*4*D3)+(3.52*8*D3)</f>
        <v>39646.94</v>
      </c>
    </row>
    <row r="53" spans="1:4" ht="12.75">
      <c r="A53" s="11" t="s">
        <v>36</v>
      </c>
      <c r="D53" s="12">
        <f>2.25*12*D4</f>
        <v>594</v>
      </c>
    </row>
    <row r="54" spans="1:4" ht="12.75">
      <c r="A54" s="11" t="s">
        <v>37</v>
      </c>
      <c r="D54" s="12">
        <v>134048</v>
      </c>
    </row>
    <row r="55" spans="1:4" ht="12.75">
      <c r="A55" s="11" t="s">
        <v>38</v>
      </c>
      <c r="D55" s="12">
        <f>(0.58*4*D3)+(0.52*8*D3)</f>
        <v>5887.08</v>
      </c>
    </row>
    <row r="56" spans="1:4" ht="12.75">
      <c r="A56" s="14"/>
      <c r="D56" s="12"/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D41+D44+D45+D46+D47+D48+D49+D50+D51+D52+D53+D54+D55+D56</f>
        <v>295083.10000000003</v>
      </c>
    </row>
    <row r="59" spans="1:4" ht="12.75">
      <c r="A59" s="11"/>
      <c r="D59" s="12"/>
    </row>
    <row r="60" spans="1:4" ht="12.75">
      <c r="A60" t="s">
        <v>65</v>
      </c>
      <c r="D60" s="12">
        <f>C37-D58</f>
        <v>-94949.19000000003</v>
      </c>
    </row>
    <row r="62" spans="1:8" ht="12.75">
      <c r="A62" s="11"/>
      <c r="H62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74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16.57421875" style="0" customWidth="1"/>
    <col min="2" max="2" width="14.28125" style="0" customWidth="1"/>
    <col min="3" max="3" width="14.8515625" style="0" customWidth="1"/>
    <col min="4" max="4" width="14.7109375" style="0" customWidth="1"/>
  </cols>
  <sheetData>
    <row r="1" spans="1:7" ht="12.75">
      <c r="A1" s="1" t="s">
        <v>0</v>
      </c>
      <c r="B1" s="2" t="s">
        <v>1</v>
      </c>
      <c r="C1" s="1" t="s">
        <v>43</v>
      </c>
      <c r="D1" s="1"/>
      <c r="E1" s="1" t="s">
        <v>2</v>
      </c>
      <c r="F1" s="3" t="s">
        <v>45</v>
      </c>
      <c r="G1">
        <v>2016</v>
      </c>
    </row>
    <row r="3" spans="1:5" ht="12.75">
      <c r="A3" t="s">
        <v>3</v>
      </c>
      <c r="D3" s="4">
        <v>2982.9</v>
      </c>
      <c r="E3" s="5" t="s">
        <v>40</v>
      </c>
    </row>
    <row r="4" spans="1:5" ht="12.75">
      <c r="A4" t="s">
        <v>4</v>
      </c>
      <c r="D4" s="4">
        <v>136</v>
      </c>
      <c r="E4" s="5"/>
    </row>
    <row r="5" spans="1:5" ht="12.75">
      <c r="A5" t="s">
        <v>5</v>
      </c>
      <c r="D5" s="4">
        <v>280</v>
      </c>
      <c r="E5" s="5" t="s">
        <v>6</v>
      </c>
    </row>
    <row r="6" spans="1:5" ht="12.75">
      <c r="A6" t="s">
        <v>7</v>
      </c>
      <c r="D6" s="4">
        <v>172</v>
      </c>
      <c r="E6" s="5" t="s">
        <v>40</v>
      </c>
    </row>
    <row r="7" spans="1:5" ht="12.75">
      <c r="A7" t="s">
        <v>8</v>
      </c>
      <c r="D7" s="4">
        <v>161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666417.4599999998</v>
      </c>
      <c r="C11" s="8">
        <f>SUM(C12:C23)</f>
        <v>686872.2599999999</v>
      </c>
      <c r="D11" s="8">
        <f>SUM(D12:D23)</f>
        <v>-20454.800000000003</v>
      </c>
    </row>
    <row r="12" spans="1:4" ht="12.75">
      <c r="A12" s="9" t="s">
        <v>25</v>
      </c>
      <c r="B12" s="8">
        <v>53839.6</v>
      </c>
      <c r="C12" s="8">
        <v>47118.73</v>
      </c>
      <c r="D12" s="8">
        <f aca="true" t="shared" si="0" ref="D12:D23">B12-C12</f>
        <v>6720.869999999995</v>
      </c>
    </row>
    <row r="13" spans="1:4" ht="12.75">
      <c r="A13" s="9" t="s">
        <v>13</v>
      </c>
      <c r="B13" s="8">
        <v>53839.6</v>
      </c>
      <c r="C13" s="13">
        <v>62927.49</v>
      </c>
      <c r="D13" s="8">
        <f t="shared" si="0"/>
        <v>-9087.89</v>
      </c>
    </row>
    <row r="14" spans="1:4" ht="12.75">
      <c r="A14" s="9" t="s">
        <v>14</v>
      </c>
      <c r="B14" s="8">
        <v>53839.6</v>
      </c>
      <c r="C14" s="13">
        <v>64512.45</v>
      </c>
      <c r="D14" s="8">
        <f t="shared" si="0"/>
        <v>-10672.849999999999</v>
      </c>
    </row>
    <row r="15" spans="1:4" ht="12.75">
      <c r="A15" s="9" t="s">
        <v>15</v>
      </c>
      <c r="B15" s="8">
        <v>53839.6</v>
      </c>
      <c r="C15" s="13">
        <v>61837.58</v>
      </c>
      <c r="D15" s="8">
        <f t="shared" si="0"/>
        <v>-7997.980000000003</v>
      </c>
    </row>
    <row r="16" spans="1:4" ht="12.75">
      <c r="A16" s="9" t="s">
        <v>16</v>
      </c>
      <c r="B16" s="8">
        <v>53839.6</v>
      </c>
      <c r="C16" s="13">
        <v>46256.31</v>
      </c>
      <c r="D16" s="8">
        <f t="shared" si="0"/>
        <v>7583.290000000001</v>
      </c>
    </row>
    <row r="17" spans="1:4" ht="12.75">
      <c r="A17" s="9" t="s">
        <v>17</v>
      </c>
      <c r="B17" s="8">
        <f>53821.54-1000</f>
        <v>52821.54</v>
      </c>
      <c r="C17" s="13">
        <v>57881.31</v>
      </c>
      <c r="D17" s="8">
        <f t="shared" si="0"/>
        <v>-5059.769999999997</v>
      </c>
    </row>
    <row r="18" spans="1:4" ht="12.75">
      <c r="A18" s="9" t="s">
        <v>18</v>
      </c>
      <c r="B18" s="8">
        <v>53821.54</v>
      </c>
      <c r="C18" s="13">
        <v>60157.59</v>
      </c>
      <c r="D18" s="8">
        <f t="shared" si="0"/>
        <v>-6336.049999999996</v>
      </c>
    </row>
    <row r="19" spans="1:4" ht="12.75">
      <c r="A19" s="9" t="s">
        <v>19</v>
      </c>
      <c r="B19" s="8">
        <v>53821.54</v>
      </c>
      <c r="C19" s="13">
        <v>57459.43</v>
      </c>
      <c r="D19" s="8">
        <f t="shared" si="0"/>
        <v>-3637.8899999999994</v>
      </c>
    </row>
    <row r="20" spans="1:4" ht="12.75">
      <c r="A20" s="9" t="s">
        <v>20</v>
      </c>
      <c r="B20" s="13">
        <v>59188.71</v>
      </c>
      <c r="C20" s="13">
        <v>54758.83</v>
      </c>
      <c r="D20" s="8">
        <f t="shared" si="0"/>
        <v>4429.879999999997</v>
      </c>
    </row>
    <row r="21" spans="1:4" ht="12.75">
      <c r="A21" s="9" t="s">
        <v>21</v>
      </c>
      <c r="B21" s="13">
        <v>59188.71</v>
      </c>
      <c r="C21" s="13">
        <v>56630.1</v>
      </c>
      <c r="D21" s="13">
        <f t="shared" si="0"/>
        <v>2558.6100000000006</v>
      </c>
    </row>
    <row r="22" spans="1:4" ht="12.75">
      <c r="A22" s="9" t="s">
        <v>22</v>
      </c>
      <c r="B22" s="13">
        <v>59188.71</v>
      </c>
      <c r="C22" s="13">
        <v>56306.36</v>
      </c>
      <c r="D22" s="13">
        <f t="shared" si="0"/>
        <v>2882.3499999999985</v>
      </c>
    </row>
    <row r="23" spans="1:4" ht="12.75">
      <c r="A23" s="9" t="s">
        <v>23</v>
      </c>
      <c r="B23" s="13">
        <v>59188.71</v>
      </c>
      <c r="C23" s="13">
        <v>61026.08</v>
      </c>
      <c r="D23" s="13">
        <f t="shared" si="0"/>
        <v>-1837.3700000000026</v>
      </c>
    </row>
    <row r="24" spans="1:4" ht="12.75">
      <c r="A24" s="7" t="s">
        <v>24</v>
      </c>
      <c r="B24" s="8">
        <f>SUM(B25:B36)</f>
        <v>853.9000000000002</v>
      </c>
      <c r="C24" s="8">
        <f>SUM(C25:C36)</f>
        <v>983.47</v>
      </c>
      <c r="D24" s="8">
        <f>SUM(D25:D36)</f>
        <v>-129.57</v>
      </c>
    </row>
    <row r="25" spans="1:4" ht="12.75">
      <c r="A25" s="9" t="s">
        <v>25</v>
      </c>
      <c r="B25" s="8">
        <v>73.28</v>
      </c>
      <c r="C25" s="8">
        <v>60.69</v>
      </c>
      <c r="D25" s="8">
        <f aca="true" t="shared" si="1" ref="D25:D36">B25-C25</f>
        <v>12.590000000000003</v>
      </c>
    </row>
    <row r="26" spans="1:4" ht="12.75">
      <c r="A26" s="9" t="s">
        <v>13</v>
      </c>
      <c r="B26" s="8">
        <v>73.28</v>
      </c>
      <c r="C26" s="13">
        <v>123.57</v>
      </c>
      <c r="D26" s="8">
        <f t="shared" si="1"/>
        <v>-50.28999999999999</v>
      </c>
    </row>
    <row r="27" spans="1:4" ht="12.75">
      <c r="A27" s="9" t="s">
        <v>14</v>
      </c>
      <c r="B27" s="8">
        <v>70.79</v>
      </c>
      <c r="C27" s="13">
        <v>90.1</v>
      </c>
      <c r="D27" s="8">
        <f t="shared" si="1"/>
        <v>-19.309999999999988</v>
      </c>
    </row>
    <row r="28" spans="1:4" ht="12.75">
      <c r="A28" s="9" t="s">
        <v>15</v>
      </c>
      <c r="B28" s="8">
        <v>70.79</v>
      </c>
      <c r="C28" s="13">
        <v>72.77</v>
      </c>
      <c r="D28" s="8">
        <f t="shared" si="1"/>
        <v>-1.9799999999999898</v>
      </c>
    </row>
    <row r="29" spans="1:4" ht="12.75">
      <c r="A29" s="9" t="s">
        <v>16</v>
      </c>
      <c r="B29" s="8">
        <v>70.79</v>
      </c>
      <c r="C29" s="13">
        <v>68.02</v>
      </c>
      <c r="D29" s="8">
        <f t="shared" si="1"/>
        <v>2.7700000000000102</v>
      </c>
    </row>
    <row r="30" spans="1:4" ht="12.75">
      <c r="A30" s="9" t="s">
        <v>17</v>
      </c>
      <c r="B30" s="8">
        <v>70.71</v>
      </c>
      <c r="C30" s="13">
        <v>100.02</v>
      </c>
      <c r="D30" s="8">
        <f t="shared" si="1"/>
        <v>-29.310000000000002</v>
      </c>
    </row>
    <row r="31" spans="1:4" ht="12.75">
      <c r="A31" s="9" t="s">
        <v>18</v>
      </c>
      <c r="B31" s="8">
        <v>70.71</v>
      </c>
      <c r="C31" s="13">
        <v>72.57</v>
      </c>
      <c r="D31" s="8">
        <f t="shared" si="1"/>
        <v>-1.8599999999999994</v>
      </c>
    </row>
    <row r="32" spans="1:4" ht="12.75">
      <c r="A32" s="9" t="s">
        <v>19</v>
      </c>
      <c r="B32" s="8">
        <v>70.71</v>
      </c>
      <c r="C32" s="13">
        <v>99.27</v>
      </c>
      <c r="D32" s="8">
        <f t="shared" si="1"/>
        <v>-28.560000000000002</v>
      </c>
    </row>
    <row r="33" spans="1:4" ht="12.75">
      <c r="A33" s="9" t="s">
        <v>20</v>
      </c>
      <c r="B33" s="8">
        <v>70.71</v>
      </c>
      <c r="C33" s="13">
        <v>65.78</v>
      </c>
      <c r="D33" s="8">
        <f t="shared" si="1"/>
        <v>4.929999999999993</v>
      </c>
    </row>
    <row r="34" spans="1:4" ht="12.75">
      <c r="A34" s="9" t="s">
        <v>21</v>
      </c>
      <c r="B34" s="8">
        <v>70.71</v>
      </c>
      <c r="C34" s="13">
        <v>68.71</v>
      </c>
      <c r="D34" s="13">
        <f t="shared" si="1"/>
        <v>2</v>
      </c>
    </row>
    <row r="35" spans="1:4" ht="12.75">
      <c r="A35" s="9" t="s">
        <v>22</v>
      </c>
      <c r="B35" s="8">
        <v>70.71</v>
      </c>
      <c r="C35" s="13">
        <v>81.74</v>
      </c>
      <c r="D35" s="13">
        <f t="shared" si="1"/>
        <v>-11.030000000000001</v>
      </c>
    </row>
    <row r="36" spans="1:4" ht="12.75">
      <c r="A36" s="9" t="s">
        <v>23</v>
      </c>
      <c r="B36" s="8">
        <v>70.71</v>
      </c>
      <c r="C36" s="13">
        <v>80.23</v>
      </c>
      <c r="D36" s="13">
        <f t="shared" si="1"/>
        <v>-9.52000000000001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81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18</v>
      </c>
      <c r="B41" s="8"/>
      <c r="C41" s="8"/>
      <c r="D41" s="8">
        <f>B41-C41</f>
        <v>0</v>
      </c>
    </row>
    <row r="42" spans="1:4" ht="12.75" hidden="1">
      <c r="A42" s="9" t="s">
        <v>19</v>
      </c>
      <c r="B42" s="13"/>
      <c r="C42" s="13"/>
      <c r="D42" s="8">
        <f>B42-C42</f>
        <v>0</v>
      </c>
    </row>
    <row r="43" spans="1:4" ht="12.75" hidden="1">
      <c r="A43" s="9" t="s">
        <v>20</v>
      </c>
      <c r="B43" s="13"/>
      <c r="C43" s="13"/>
      <c r="D43" s="13">
        <f>B43-C43</f>
        <v>0</v>
      </c>
    </row>
    <row r="44" spans="1:4" ht="12.75" hidden="1">
      <c r="A44" s="9" t="s">
        <v>21</v>
      </c>
      <c r="B44" s="13"/>
      <c r="C44" s="13"/>
      <c r="D44" s="13">
        <f>B44-C44</f>
        <v>0</v>
      </c>
    </row>
    <row r="45" spans="1:4" ht="12.75" hidden="1">
      <c r="A45" s="9" t="s">
        <v>22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667271.3599999999</v>
      </c>
      <c r="C46" s="8">
        <f>C11+C24</f>
        <v>687855.7299999999</v>
      </c>
      <c r="D46" s="8">
        <f>D11+D24</f>
        <v>-20584.370000000003</v>
      </c>
    </row>
    <row r="48" spans="1:4" ht="12.75">
      <c r="A48" t="s">
        <v>27</v>
      </c>
      <c r="D48" s="12">
        <f>D46</f>
        <v>-20584.370000000003</v>
      </c>
    </row>
    <row r="50" spans="1:4" ht="12.75">
      <c r="A50" s="11" t="s">
        <v>28</v>
      </c>
      <c r="D50" s="12">
        <f>D51+D52</f>
        <v>53334.252</v>
      </c>
    </row>
    <row r="51" spans="1:4" ht="12.75" hidden="1">
      <c r="A51" s="11" t="s">
        <v>29</v>
      </c>
      <c r="D51" s="12">
        <f>(1.33*4*D3)+(1.21*8*D3)</f>
        <v>44743.5</v>
      </c>
    </row>
    <row r="52" spans="1:4" ht="12.75" hidden="1">
      <c r="A52" s="11" t="s">
        <v>30</v>
      </c>
      <c r="D52" s="12">
        <f>(0.24*12*D3)</f>
        <v>8590.752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1412*0.22*4+(1412*2.5)</f>
        <v>4772.5599999999995</v>
      </c>
    </row>
    <row r="55" spans="1:4" ht="12.75">
      <c r="A55" s="11" t="s">
        <v>80</v>
      </c>
      <c r="D55" s="12">
        <f>(2.66*4*D3)+(2.42*8*D3)</f>
        <v>89487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(0.72*2*D3)</f>
        <v>4295.376</v>
      </c>
    </row>
    <row r="58" spans="1:4" ht="12.75">
      <c r="A58" s="11" t="s">
        <v>33</v>
      </c>
      <c r="D58" s="12">
        <f>(1.45*4*D3)+(1.32*8*D3)</f>
        <v>48800.244000000006</v>
      </c>
    </row>
    <row r="59" spans="1:4" ht="12.75">
      <c r="A59" s="11" t="s">
        <v>34</v>
      </c>
      <c r="D59" s="12">
        <f>(5.11*4*D3)+(4.51*8*D3)</f>
        <v>168593.508</v>
      </c>
    </row>
    <row r="60" spans="1:4" ht="12.75" hidden="1">
      <c r="A60" s="11" t="s">
        <v>35</v>
      </c>
      <c r="D60" s="12">
        <v>0</v>
      </c>
    </row>
    <row r="61" spans="1:4" ht="12.75">
      <c r="A61" s="11" t="s">
        <v>78</v>
      </c>
      <c r="D61" s="12">
        <f>(3.87*4*D3)+(3.52*8*D3)</f>
        <v>130173.75600000001</v>
      </c>
    </row>
    <row r="62" spans="1:4" ht="12.75">
      <c r="A62" s="11" t="s">
        <v>36</v>
      </c>
      <c r="D62" s="12">
        <f>2.25*12*D4</f>
        <v>3672</v>
      </c>
    </row>
    <row r="63" spans="1:4" ht="12.75">
      <c r="A63" s="11" t="s">
        <v>37</v>
      </c>
      <c r="D63" s="12">
        <v>402304</v>
      </c>
    </row>
    <row r="64" spans="1:4" ht="12.75">
      <c r="A64" s="11" t="s">
        <v>38</v>
      </c>
      <c r="D64" s="12">
        <f>(0.63*4*D3)+(0.57*8*D3)</f>
        <v>21118.932</v>
      </c>
    </row>
    <row r="65" spans="1:4" ht="12.75" hidden="1">
      <c r="A65" s="14" t="s">
        <v>62</v>
      </c>
      <c r="D65" s="12">
        <v>0</v>
      </c>
    </row>
    <row r="66" spans="1:4" ht="12.75">
      <c r="A66" s="11"/>
      <c r="D66" s="12"/>
    </row>
    <row r="67" spans="1:4" ht="12.75">
      <c r="A67" s="11" t="s">
        <v>39</v>
      </c>
      <c r="D67" s="12">
        <f>D50+D53+D54+D55+D56+D57+D58+D59+D60+D61+D62+D63+D64</f>
        <v>926551.628</v>
      </c>
    </row>
    <row r="68" spans="1:4" ht="12.75">
      <c r="A68" s="11"/>
      <c r="D68" s="12"/>
    </row>
    <row r="69" spans="1:4" ht="12.75">
      <c r="A69" t="s">
        <v>65</v>
      </c>
      <c r="D69" s="12">
        <f>C46-D67</f>
        <v>-238695.89800000016</v>
      </c>
    </row>
    <row r="74" ht="12.75">
      <c r="H74" s="22"/>
    </row>
    <row r="87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70"/>
  <dimension ref="A1:H68"/>
  <sheetViews>
    <sheetView zoomScalePageLayoutView="0" workbookViewId="0" topLeftCell="A1">
      <selection activeCell="H70" sqref="H70"/>
    </sheetView>
  </sheetViews>
  <sheetFormatPr defaultColWidth="9.140625" defaultRowHeight="12.75"/>
  <cols>
    <col min="1" max="1" width="13.421875" style="0" customWidth="1"/>
    <col min="2" max="2" width="15.7109375" style="0" customWidth="1"/>
    <col min="3" max="3" width="16.140625" style="0" customWidth="1"/>
    <col min="4" max="4" width="14.57421875" style="0" customWidth="1"/>
  </cols>
  <sheetData>
    <row r="1" spans="1:7" ht="12.75">
      <c r="A1" s="1" t="s">
        <v>0</v>
      </c>
      <c r="B1" s="2" t="s">
        <v>1</v>
      </c>
      <c r="C1" s="1" t="s">
        <v>63</v>
      </c>
      <c r="D1" s="1"/>
      <c r="E1" s="1" t="s">
        <v>2</v>
      </c>
      <c r="F1" s="3">
        <v>1</v>
      </c>
      <c r="G1">
        <v>2016</v>
      </c>
    </row>
    <row r="3" spans="1:5" ht="12.75">
      <c r="A3" t="s">
        <v>3</v>
      </c>
      <c r="D3" s="4">
        <v>3167.1</v>
      </c>
      <c r="E3" s="5" t="s">
        <v>40</v>
      </c>
    </row>
    <row r="4" spans="1:5" ht="12.75">
      <c r="A4" t="s">
        <v>4</v>
      </c>
      <c r="D4" s="4">
        <v>59</v>
      </c>
      <c r="E4" s="5"/>
    </row>
    <row r="5" spans="1:5" ht="12.75">
      <c r="A5" t="s">
        <v>5</v>
      </c>
      <c r="D5" s="4">
        <v>169</v>
      </c>
      <c r="E5" s="5" t="s">
        <v>6</v>
      </c>
    </row>
    <row r="6" spans="1:5" ht="12.75">
      <c r="A6" t="s">
        <v>7</v>
      </c>
      <c r="D6" s="4">
        <v>435.8</v>
      </c>
      <c r="E6" s="5" t="s">
        <v>40</v>
      </c>
    </row>
    <row r="7" spans="1:5" ht="12.75">
      <c r="A7" t="s">
        <v>8</v>
      </c>
      <c r="D7" s="4">
        <v>1773.9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787720.3200000002</v>
      </c>
      <c r="C11" s="8">
        <f>SUM(C12:C23)</f>
        <v>731789.0599999999</v>
      </c>
      <c r="D11" s="8">
        <f>SUM(D12:D23)</f>
        <v>55931.26000000001</v>
      </c>
    </row>
    <row r="12" spans="1:4" ht="12.75">
      <c r="A12" s="9" t="s">
        <v>25</v>
      </c>
      <c r="B12" s="8">
        <v>63531.96</v>
      </c>
      <c r="C12" s="8">
        <v>54636.1</v>
      </c>
      <c r="D12" s="8">
        <f aca="true" t="shared" si="0" ref="D12:D23">B12-C12</f>
        <v>8895.86</v>
      </c>
    </row>
    <row r="13" spans="1:4" ht="12.75">
      <c r="A13" s="9" t="s">
        <v>13</v>
      </c>
      <c r="B13" s="8">
        <v>63531.96</v>
      </c>
      <c r="C13" s="13">
        <v>57366.17</v>
      </c>
      <c r="D13" s="8">
        <f t="shared" si="0"/>
        <v>6165.790000000001</v>
      </c>
    </row>
    <row r="14" spans="1:4" ht="12.75">
      <c r="A14" s="9" t="s">
        <v>14</v>
      </c>
      <c r="B14" s="8">
        <v>63531.96</v>
      </c>
      <c r="C14" s="13">
        <v>53482.77</v>
      </c>
      <c r="D14" s="8">
        <f t="shared" si="0"/>
        <v>10049.190000000002</v>
      </c>
    </row>
    <row r="15" spans="1:4" ht="12.75">
      <c r="A15" s="9" t="s">
        <v>15</v>
      </c>
      <c r="B15" s="8">
        <v>63531.96</v>
      </c>
      <c r="C15" s="13">
        <v>59999.55</v>
      </c>
      <c r="D15" s="8">
        <f t="shared" si="0"/>
        <v>3532.409999999996</v>
      </c>
    </row>
    <row r="16" spans="1:4" ht="12.75">
      <c r="A16" s="9" t="s">
        <v>16</v>
      </c>
      <c r="B16" s="8">
        <v>63531.96</v>
      </c>
      <c r="C16" s="13">
        <v>59378.25</v>
      </c>
      <c r="D16" s="8">
        <f t="shared" si="0"/>
        <v>4153.709999999999</v>
      </c>
    </row>
    <row r="17" spans="1:4" ht="12.75">
      <c r="A17" s="9" t="s">
        <v>17</v>
      </c>
      <c r="B17" s="8">
        <v>63531.96</v>
      </c>
      <c r="C17" s="13">
        <v>74007.22</v>
      </c>
      <c r="D17" s="8">
        <f t="shared" si="0"/>
        <v>-10475.260000000002</v>
      </c>
    </row>
    <row r="18" spans="1:4" ht="12.75">
      <c r="A18" s="9" t="s">
        <v>18</v>
      </c>
      <c r="B18" s="8">
        <v>63531.96</v>
      </c>
      <c r="C18" s="13">
        <v>58108.47</v>
      </c>
      <c r="D18" s="8">
        <f t="shared" si="0"/>
        <v>5423.489999999998</v>
      </c>
    </row>
    <row r="19" spans="1:4" ht="12.75">
      <c r="A19" s="9" t="s">
        <v>19</v>
      </c>
      <c r="B19" s="8">
        <v>63531.96</v>
      </c>
      <c r="C19" s="13">
        <v>59536.42</v>
      </c>
      <c r="D19" s="8">
        <f t="shared" si="0"/>
        <v>3995.540000000001</v>
      </c>
    </row>
    <row r="20" spans="1:4" ht="12.75">
      <c r="A20" s="9" t="s">
        <v>20</v>
      </c>
      <c r="B20" s="13">
        <v>69866.16</v>
      </c>
      <c r="C20" s="13">
        <v>56197.75</v>
      </c>
      <c r="D20" s="8">
        <f t="shared" si="0"/>
        <v>13668.410000000003</v>
      </c>
    </row>
    <row r="21" spans="1:4" ht="12.75">
      <c r="A21" s="9" t="s">
        <v>21</v>
      </c>
      <c r="B21" s="13">
        <v>69866.16</v>
      </c>
      <c r="C21" s="13">
        <v>65009.01</v>
      </c>
      <c r="D21" s="13">
        <f t="shared" si="0"/>
        <v>4857.1500000000015</v>
      </c>
    </row>
    <row r="22" spans="1:4" ht="12.75">
      <c r="A22" s="9" t="s">
        <v>22</v>
      </c>
      <c r="B22" s="13">
        <v>69866.16</v>
      </c>
      <c r="C22" s="13">
        <v>69730.78</v>
      </c>
      <c r="D22" s="13">
        <f t="shared" si="0"/>
        <v>135.38000000000466</v>
      </c>
    </row>
    <row r="23" spans="1:4" ht="12.75">
      <c r="A23" s="9" t="s">
        <v>23</v>
      </c>
      <c r="B23" s="13">
        <v>69866.16</v>
      </c>
      <c r="C23" s="13">
        <v>64336.57</v>
      </c>
      <c r="D23" s="13">
        <f t="shared" si="0"/>
        <v>5529.590000000004</v>
      </c>
    </row>
    <row r="24" spans="1:4" ht="12.75">
      <c r="A24" s="7" t="s">
        <v>24</v>
      </c>
      <c r="B24" s="8">
        <f>SUM(B25:B36)</f>
        <v>410.97999999999996</v>
      </c>
      <c r="C24" s="8">
        <f>SUM(C25:C36)</f>
        <v>250.64</v>
      </c>
      <c r="D24" s="8">
        <f>SUM(D25:D36)</f>
        <v>160.34000000000006</v>
      </c>
    </row>
    <row r="25" spans="1:4" ht="12.75">
      <c r="A25" s="9" t="s">
        <v>25</v>
      </c>
      <c r="B25" s="8">
        <v>37.34</v>
      </c>
      <c r="C25" s="8">
        <v>25.95</v>
      </c>
      <c r="D25" s="8">
        <f aca="true" t="shared" si="1" ref="D25:D33">B25-C25</f>
        <v>11.390000000000004</v>
      </c>
    </row>
    <row r="26" spans="1:4" ht="12.75">
      <c r="A26" s="9" t="s">
        <v>13</v>
      </c>
      <c r="B26" s="8">
        <v>37.34</v>
      </c>
      <c r="C26" s="13">
        <v>26.74</v>
      </c>
      <c r="D26" s="8">
        <f t="shared" si="1"/>
        <v>10.600000000000005</v>
      </c>
    </row>
    <row r="27" spans="1:4" ht="12.75">
      <c r="A27" s="9" t="s">
        <v>14</v>
      </c>
      <c r="B27" s="8">
        <v>33.63</v>
      </c>
      <c r="C27" s="13">
        <v>20.58</v>
      </c>
      <c r="D27" s="8">
        <f t="shared" si="1"/>
        <v>13.050000000000004</v>
      </c>
    </row>
    <row r="28" spans="1:4" ht="12.75">
      <c r="A28" s="9" t="s">
        <v>15</v>
      </c>
      <c r="B28" s="8">
        <v>33.63</v>
      </c>
      <c r="C28" s="13">
        <v>17.82</v>
      </c>
      <c r="D28" s="8">
        <f t="shared" si="1"/>
        <v>15.810000000000002</v>
      </c>
    </row>
    <row r="29" spans="1:4" ht="12.75">
      <c r="A29" s="9" t="s">
        <v>16</v>
      </c>
      <c r="B29" s="8">
        <v>33.63</v>
      </c>
      <c r="C29" s="13">
        <v>17.82</v>
      </c>
      <c r="D29" s="8">
        <f t="shared" si="1"/>
        <v>15.810000000000002</v>
      </c>
    </row>
    <row r="30" spans="1:4" ht="12.75">
      <c r="A30" s="9" t="s">
        <v>17</v>
      </c>
      <c r="B30" s="8">
        <v>33.63</v>
      </c>
      <c r="C30" s="13">
        <v>24.09</v>
      </c>
      <c r="D30" s="8">
        <f t="shared" si="1"/>
        <v>9.540000000000003</v>
      </c>
    </row>
    <row r="31" spans="1:4" ht="12.75">
      <c r="A31" s="9" t="s">
        <v>18</v>
      </c>
      <c r="B31" s="8">
        <v>33.63</v>
      </c>
      <c r="C31" s="13">
        <v>23.87</v>
      </c>
      <c r="D31" s="8">
        <f t="shared" si="1"/>
        <v>9.760000000000002</v>
      </c>
    </row>
    <row r="32" spans="1:4" ht="12.75">
      <c r="A32" s="9" t="s">
        <v>19</v>
      </c>
      <c r="B32" s="8">
        <v>33.63</v>
      </c>
      <c r="C32" s="13">
        <v>17.82</v>
      </c>
      <c r="D32" s="8">
        <f t="shared" si="1"/>
        <v>15.810000000000002</v>
      </c>
    </row>
    <row r="33" spans="1:4" ht="12.75">
      <c r="A33" s="9" t="s">
        <v>20</v>
      </c>
      <c r="B33" s="8">
        <v>33.63</v>
      </c>
      <c r="C33" s="13">
        <v>17.82</v>
      </c>
      <c r="D33" s="8">
        <f t="shared" si="1"/>
        <v>15.810000000000002</v>
      </c>
    </row>
    <row r="34" spans="1:4" ht="12.75">
      <c r="A34" s="9" t="s">
        <v>21</v>
      </c>
      <c r="B34" s="8">
        <v>33.63</v>
      </c>
      <c r="C34" s="13">
        <v>17.82</v>
      </c>
      <c r="D34" s="13">
        <f>B34-C34</f>
        <v>15.810000000000002</v>
      </c>
    </row>
    <row r="35" spans="1:4" ht="12.75">
      <c r="A35" s="9" t="s">
        <v>22</v>
      </c>
      <c r="B35" s="8">
        <v>33.63</v>
      </c>
      <c r="C35" s="13">
        <v>22.3</v>
      </c>
      <c r="D35" s="13">
        <f>B35-C35</f>
        <v>11.330000000000002</v>
      </c>
    </row>
    <row r="36" spans="1:4" ht="12.75">
      <c r="A36" s="9" t="s">
        <v>23</v>
      </c>
      <c r="B36" s="8">
        <v>33.63</v>
      </c>
      <c r="C36" s="13">
        <v>18.01</v>
      </c>
      <c r="D36" s="13">
        <f>B36-C36</f>
        <v>15.620000000000001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42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19</v>
      </c>
      <c r="B41" s="8"/>
      <c r="C41" s="8"/>
      <c r="D41" s="8">
        <f>B41-C41</f>
        <v>0</v>
      </c>
    </row>
    <row r="42" spans="1:4" ht="12.75" hidden="1">
      <c r="A42" s="9" t="s">
        <v>20</v>
      </c>
      <c r="B42" s="13"/>
      <c r="C42" s="13"/>
      <c r="D42" s="8">
        <f>B42-C42</f>
        <v>0</v>
      </c>
    </row>
    <row r="43" spans="1:4" ht="12.75" hidden="1">
      <c r="A43" s="9" t="s">
        <v>21</v>
      </c>
      <c r="B43" s="13"/>
      <c r="C43" s="13"/>
      <c r="D43" s="13">
        <f>B43-C43</f>
        <v>0</v>
      </c>
    </row>
    <row r="44" spans="1:4" ht="12.75" hidden="1">
      <c r="A44" s="9" t="s">
        <v>22</v>
      </c>
      <c r="B44" s="13"/>
      <c r="C44" s="13"/>
      <c r="D44" s="13">
        <f>B44-C44</f>
        <v>0</v>
      </c>
    </row>
    <row r="45" spans="1:4" ht="12.75" hidden="1">
      <c r="A45" s="9" t="s">
        <v>23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B11+B24+B37+B40</f>
        <v>788131.3000000002</v>
      </c>
      <c r="C46" s="8">
        <f>C11+C24+C37+C40</f>
        <v>732039.7</v>
      </c>
      <c r="D46" s="8">
        <f>D11+D24+D37+D40</f>
        <v>56091.600000000006</v>
      </c>
    </row>
    <row r="48" spans="1:4" ht="12.75">
      <c r="A48" t="s">
        <v>27</v>
      </c>
      <c r="D48" s="12">
        <f>D46</f>
        <v>56091.600000000006</v>
      </c>
    </row>
    <row r="50" spans="1:4" ht="12.75">
      <c r="A50" s="11" t="s">
        <v>28</v>
      </c>
      <c r="D50" s="12">
        <f>D51+D52</f>
        <v>56627.748</v>
      </c>
    </row>
    <row r="51" spans="1:4" ht="12.75" hidden="1">
      <c r="A51" s="11" t="s">
        <v>29</v>
      </c>
      <c r="D51" s="12">
        <f>(1.33*4*D3)+(1.21*8*D3)</f>
        <v>47506.5</v>
      </c>
    </row>
    <row r="52" spans="1:4" ht="12.75" hidden="1">
      <c r="A52" s="11" t="s">
        <v>30</v>
      </c>
      <c r="D52" s="12">
        <f>(0.24*12*D3)</f>
        <v>9121.248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773.7*0.22*4+(773.7*2.5)</f>
        <v>2615.1059999999998</v>
      </c>
    </row>
    <row r="55" spans="1:4" ht="12.75">
      <c r="A55" s="11" t="s">
        <v>80</v>
      </c>
      <c r="D55" s="12">
        <f>(2.66*4*D3)+(2.42*8*D3)</f>
        <v>95013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(0.72*3*D3)</f>
        <v>6840.936000000001</v>
      </c>
    </row>
    <row r="58" spans="1:4" ht="12.75">
      <c r="A58" s="11" t="s">
        <v>33</v>
      </c>
      <c r="D58" s="12">
        <f>(1.45*4*D3)+(1.32*8*D3)</f>
        <v>51813.756</v>
      </c>
    </row>
    <row r="59" spans="1:4" ht="12.75">
      <c r="A59" s="11" t="s">
        <v>34</v>
      </c>
      <c r="D59" s="12">
        <f>(4.94*4*D3)+(4.51*8*D3)</f>
        <v>176850.864</v>
      </c>
    </row>
    <row r="60" spans="1:4" ht="12.75">
      <c r="A60" s="11" t="s">
        <v>35</v>
      </c>
      <c r="D60" s="12">
        <f>(0.29*4*D3)+(0.26*8*D3)</f>
        <v>10261.404</v>
      </c>
    </row>
    <row r="61" spans="1:4" ht="12.75">
      <c r="A61" s="11" t="s">
        <v>78</v>
      </c>
      <c r="D61" s="12">
        <f>(3.87*4*D3)+(3.52*8*D3)</f>
        <v>138212.244</v>
      </c>
    </row>
    <row r="62" spans="1:4" ht="12.75">
      <c r="A62" s="11" t="s">
        <v>36</v>
      </c>
      <c r="D62" s="12">
        <f>2.25*12*D4</f>
        <v>1593</v>
      </c>
    </row>
    <row r="63" spans="1:4" ht="12.75">
      <c r="A63" s="11" t="s">
        <v>37</v>
      </c>
      <c r="D63" s="12">
        <v>12296</v>
      </c>
    </row>
    <row r="64" spans="1:8" ht="12.75">
      <c r="A64" s="11" t="s">
        <v>38</v>
      </c>
      <c r="D64" s="12">
        <f>(0.91*4*D3)+(0.83*8*D3)</f>
        <v>32557.788</v>
      </c>
      <c r="H64" s="22"/>
    </row>
    <row r="65" spans="1:8" ht="12.75" hidden="1">
      <c r="A65" s="14" t="s">
        <v>62</v>
      </c>
      <c r="D65" s="12">
        <v>0</v>
      </c>
      <c r="H65" s="22"/>
    </row>
    <row r="66" spans="1:4" ht="12.75">
      <c r="A66" s="11"/>
      <c r="D66" s="12"/>
    </row>
    <row r="67" spans="1:4" ht="12.75">
      <c r="A67" s="11" t="s">
        <v>39</v>
      </c>
      <c r="D67" s="12">
        <f>D50+D53+D54+D55+D56+D57+D58+D59+D60+D61+D62+D63+D64+D65</f>
        <v>584681.8459999999</v>
      </c>
    </row>
    <row r="68" spans="1:4" ht="12.75">
      <c r="A68" s="11"/>
      <c r="D68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71"/>
  <dimension ref="A1:H69"/>
  <sheetViews>
    <sheetView zoomScalePageLayoutView="0" workbookViewId="0" topLeftCell="A1">
      <selection activeCell="I74" sqref="I74"/>
    </sheetView>
  </sheetViews>
  <sheetFormatPr defaultColWidth="9.140625" defaultRowHeight="12.75"/>
  <cols>
    <col min="1" max="1" width="15.140625" style="0" customWidth="1"/>
    <col min="2" max="3" width="14.8515625" style="0" customWidth="1"/>
    <col min="4" max="4" width="16.00390625" style="0" customWidth="1"/>
    <col min="5" max="5" width="6.140625" style="0" customWidth="1"/>
    <col min="6" max="6" width="4.8515625" style="0" customWidth="1"/>
  </cols>
  <sheetData>
    <row r="1" spans="1:7" ht="12.75">
      <c r="A1" s="1" t="s">
        <v>0</v>
      </c>
      <c r="B1" s="2" t="s">
        <v>1</v>
      </c>
      <c r="C1" s="1" t="s">
        <v>63</v>
      </c>
      <c r="D1" s="1"/>
      <c r="E1" s="1" t="s">
        <v>2</v>
      </c>
      <c r="F1" s="3">
        <v>2</v>
      </c>
      <c r="G1">
        <v>2016</v>
      </c>
    </row>
    <row r="3" spans="1:5" ht="12.75">
      <c r="A3" t="s">
        <v>3</v>
      </c>
      <c r="D3" s="4">
        <v>3143.7</v>
      </c>
      <c r="E3" s="5" t="s">
        <v>40</v>
      </c>
    </row>
    <row r="4" spans="1:5" ht="12.75">
      <c r="A4" t="s">
        <v>4</v>
      </c>
      <c r="D4" s="4">
        <v>61</v>
      </c>
      <c r="E4" s="5"/>
    </row>
    <row r="5" spans="1:5" ht="12.75">
      <c r="A5" t="s">
        <v>5</v>
      </c>
      <c r="D5" s="4">
        <v>131</v>
      </c>
      <c r="E5" s="5" t="s">
        <v>6</v>
      </c>
    </row>
    <row r="6" spans="1:5" ht="12.75">
      <c r="A6" t="s">
        <v>7</v>
      </c>
      <c r="D6" s="4">
        <v>382.6</v>
      </c>
      <c r="E6" s="5" t="s">
        <v>40</v>
      </c>
    </row>
    <row r="7" spans="1:5" ht="12.75">
      <c r="A7" t="s">
        <v>8</v>
      </c>
      <c r="D7" s="4">
        <v>2315.9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782150.7200000001</v>
      </c>
      <c r="C11" s="8">
        <f>SUM(C12:C23)</f>
        <v>795867.4099999999</v>
      </c>
      <c r="D11" s="8">
        <f>SUM(D12:D23)</f>
        <v>-13716.689999999973</v>
      </c>
    </row>
    <row r="12" spans="1:4" ht="12.75">
      <c r="A12" s="9" t="s">
        <v>25</v>
      </c>
      <c r="B12" s="8">
        <v>63082.76</v>
      </c>
      <c r="C12" s="8">
        <v>44016.77</v>
      </c>
      <c r="D12" s="8">
        <f aca="true" t="shared" si="0" ref="D12:D23">B12-C12</f>
        <v>19065.990000000005</v>
      </c>
    </row>
    <row r="13" spans="1:4" ht="12.75">
      <c r="A13" s="9" t="s">
        <v>13</v>
      </c>
      <c r="B13" s="8">
        <v>63082.76</v>
      </c>
      <c r="C13" s="13">
        <v>53548.49</v>
      </c>
      <c r="D13" s="8">
        <f t="shared" si="0"/>
        <v>9534.270000000004</v>
      </c>
    </row>
    <row r="14" spans="1:4" ht="12.75">
      <c r="A14" s="9" t="s">
        <v>14</v>
      </c>
      <c r="B14" s="8">
        <v>63082.76</v>
      </c>
      <c r="C14" s="13">
        <v>50009.11</v>
      </c>
      <c r="D14" s="8">
        <f t="shared" si="0"/>
        <v>13073.650000000001</v>
      </c>
    </row>
    <row r="15" spans="1:4" ht="12.75">
      <c r="A15" s="9" t="s">
        <v>15</v>
      </c>
      <c r="B15" s="8">
        <v>63082.76</v>
      </c>
      <c r="C15" s="13">
        <v>58617.77</v>
      </c>
      <c r="D15" s="8">
        <f t="shared" si="0"/>
        <v>4464.990000000005</v>
      </c>
    </row>
    <row r="16" spans="1:4" ht="12.75">
      <c r="A16" s="9" t="s">
        <v>16</v>
      </c>
      <c r="B16" s="8">
        <v>63082.76</v>
      </c>
      <c r="C16" s="13">
        <v>68067.22</v>
      </c>
      <c r="D16" s="8">
        <f t="shared" si="0"/>
        <v>-4984.459999999999</v>
      </c>
    </row>
    <row r="17" spans="1:4" ht="12.75">
      <c r="A17" s="9" t="s">
        <v>17</v>
      </c>
      <c r="B17" s="8">
        <v>63082.76</v>
      </c>
      <c r="C17" s="13">
        <v>56770.72</v>
      </c>
      <c r="D17" s="8">
        <f t="shared" si="0"/>
        <v>6312.040000000001</v>
      </c>
    </row>
    <row r="18" spans="1:4" ht="12.75">
      <c r="A18" s="9" t="s">
        <v>18</v>
      </c>
      <c r="B18" s="8">
        <v>63082.76</v>
      </c>
      <c r="C18" s="13">
        <v>57383.1</v>
      </c>
      <c r="D18" s="8">
        <f t="shared" si="0"/>
        <v>5699.6600000000035</v>
      </c>
    </row>
    <row r="19" spans="1:4" ht="12.75">
      <c r="A19" s="9" t="s">
        <v>19</v>
      </c>
      <c r="B19" s="8">
        <v>63082.76</v>
      </c>
      <c r="C19" s="13">
        <v>77155.35</v>
      </c>
      <c r="D19" s="8">
        <f t="shared" si="0"/>
        <v>-14072.590000000004</v>
      </c>
    </row>
    <row r="20" spans="1:4" ht="12.75">
      <c r="A20" s="9" t="s">
        <v>20</v>
      </c>
      <c r="B20" s="13">
        <v>69372.16</v>
      </c>
      <c r="C20" s="13">
        <v>51219.89</v>
      </c>
      <c r="D20" s="8">
        <f t="shared" si="0"/>
        <v>18152.270000000004</v>
      </c>
    </row>
    <row r="21" spans="1:4" ht="12.75">
      <c r="A21" s="9" t="s">
        <v>21</v>
      </c>
      <c r="B21" s="13">
        <v>69372.16</v>
      </c>
      <c r="C21" s="13">
        <v>121348.37</v>
      </c>
      <c r="D21" s="13">
        <f t="shared" si="0"/>
        <v>-51976.20999999999</v>
      </c>
    </row>
    <row r="22" spans="1:4" ht="12.75">
      <c r="A22" s="9" t="s">
        <v>22</v>
      </c>
      <c r="B22" s="13">
        <v>69372.16</v>
      </c>
      <c r="C22" s="13">
        <v>72127.27</v>
      </c>
      <c r="D22" s="13">
        <f t="shared" si="0"/>
        <v>-2755.1100000000006</v>
      </c>
    </row>
    <row r="23" spans="1:4" ht="12.75">
      <c r="A23" s="9" t="s">
        <v>23</v>
      </c>
      <c r="B23" s="13">
        <v>69372.16</v>
      </c>
      <c r="C23" s="13">
        <v>85603.35</v>
      </c>
      <c r="D23" s="13">
        <f t="shared" si="0"/>
        <v>-16231.190000000002</v>
      </c>
    </row>
    <row r="24" spans="1:4" ht="12.75">
      <c r="A24" s="7" t="s">
        <v>24</v>
      </c>
      <c r="B24" s="8">
        <f>SUM(B25:B36)</f>
        <v>358.56</v>
      </c>
      <c r="C24" s="8">
        <f>SUM(C25:C36)</f>
        <v>559.87</v>
      </c>
      <c r="D24" s="8">
        <f>SUM(D25:D36)</f>
        <v>-201.31</v>
      </c>
    </row>
    <row r="25" spans="1:4" ht="12.75">
      <c r="A25" s="9" t="s">
        <v>25</v>
      </c>
      <c r="B25" s="8">
        <v>29.88</v>
      </c>
      <c r="C25" s="8">
        <v>11.3</v>
      </c>
      <c r="D25" s="8">
        <f aca="true" t="shared" si="1" ref="D25:D36">B25-C25</f>
        <v>18.58</v>
      </c>
    </row>
    <row r="26" spans="1:4" ht="12.75">
      <c r="A26" s="9" t="s">
        <v>13</v>
      </c>
      <c r="B26" s="8">
        <v>29.88</v>
      </c>
      <c r="C26" s="13">
        <v>34.14</v>
      </c>
      <c r="D26" s="8">
        <f t="shared" si="1"/>
        <v>-4.260000000000002</v>
      </c>
    </row>
    <row r="27" spans="1:4" ht="12.75">
      <c r="A27" s="9" t="s">
        <v>14</v>
      </c>
      <c r="B27" s="8">
        <v>29.88</v>
      </c>
      <c r="C27" s="13">
        <v>16.63</v>
      </c>
      <c r="D27" s="8">
        <f t="shared" si="1"/>
        <v>13.25</v>
      </c>
    </row>
    <row r="28" spans="1:4" ht="12.75">
      <c r="A28" s="9" t="s">
        <v>15</v>
      </c>
      <c r="B28" s="8">
        <v>29.88</v>
      </c>
      <c r="C28" s="13">
        <v>9.23</v>
      </c>
      <c r="D28" s="8">
        <f t="shared" si="1"/>
        <v>20.65</v>
      </c>
    </row>
    <row r="29" spans="1:4" ht="12.75">
      <c r="A29" s="9" t="s">
        <v>16</v>
      </c>
      <c r="B29" s="8">
        <v>29.88</v>
      </c>
      <c r="C29" s="13">
        <v>11.62</v>
      </c>
      <c r="D29" s="8">
        <f t="shared" si="1"/>
        <v>18.259999999999998</v>
      </c>
    </row>
    <row r="30" spans="1:4" ht="12.75">
      <c r="A30" s="9" t="s">
        <v>17</v>
      </c>
      <c r="B30" s="8">
        <v>29.88</v>
      </c>
      <c r="C30" s="13">
        <v>13.86</v>
      </c>
      <c r="D30" s="8">
        <f t="shared" si="1"/>
        <v>16.02</v>
      </c>
    </row>
    <row r="31" spans="1:4" ht="12.75">
      <c r="A31" s="9" t="s">
        <v>18</v>
      </c>
      <c r="B31" s="8">
        <v>29.88</v>
      </c>
      <c r="C31" s="13">
        <v>21.77</v>
      </c>
      <c r="D31" s="8">
        <f t="shared" si="1"/>
        <v>8.11</v>
      </c>
    </row>
    <row r="32" spans="1:4" ht="12.75">
      <c r="A32" s="9" t="s">
        <v>19</v>
      </c>
      <c r="B32" s="8">
        <v>29.88</v>
      </c>
      <c r="C32" s="13">
        <v>53.57</v>
      </c>
      <c r="D32" s="8">
        <f t="shared" si="1"/>
        <v>-23.69</v>
      </c>
    </row>
    <row r="33" spans="1:4" ht="12.75">
      <c r="A33" s="9" t="s">
        <v>20</v>
      </c>
      <c r="B33" s="8">
        <v>29.88</v>
      </c>
      <c r="C33" s="13">
        <v>16</v>
      </c>
      <c r="D33" s="8">
        <f t="shared" si="1"/>
        <v>13.879999999999999</v>
      </c>
    </row>
    <row r="34" spans="1:4" ht="12.75">
      <c r="A34" s="9" t="s">
        <v>21</v>
      </c>
      <c r="B34" s="8">
        <v>29.88</v>
      </c>
      <c r="C34" s="13">
        <v>246.1</v>
      </c>
      <c r="D34" s="13">
        <f t="shared" si="1"/>
        <v>-216.22</v>
      </c>
    </row>
    <row r="35" spans="1:4" ht="12.75">
      <c r="A35" s="9" t="s">
        <v>22</v>
      </c>
      <c r="B35" s="8">
        <v>29.88</v>
      </c>
      <c r="C35" s="13">
        <v>39.82</v>
      </c>
      <c r="D35" s="13">
        <f t="shared" si="1"/>
        <v>-9.940000000000001</v>
      </c>
    </row>
    <row r="36" spans="1:4" ht="12.75">
      <c r="A36" s="9" t="s">
        <v>23</v>
      </c>
      <c r="B36" s="8">
        <v>29.88</v>
      </c>
      <c r="C36" s="13">
        <v>85.83</v>
      </c>
      <c r="D36" s="13">
        <f t="shared" si="1"/>
        <v>-55.95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42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19</v>
      </c>
      <c r="B41" s="8"/>
      <c r="C41" s="8"/>
      <c r="D41" s="8">
        <f>B41-C41</f>
        <v>0</v>
      </c>
    </row>
    <row r="42" spans="1:4" ht="12.75" hidden="1">
      <c r="A42" s="9" t="s">
        <v>20</v>
      </c>
      <c r="B42" s="13"/>
      <c r="C42" s="13"/>
      <c r="D42" s="8">
        <f>B42-C42</f>
        <v>0</v>
      </c>
    </row>
    <row r="43" spans="1:4" ht="12.75" hidden="1">
      <c r="A43" s="9" t="s">
        <v>21</v>
      </c>
      <c r="B43" s="13"/>
      <c r="C43" s="13"/>
      <c r="D43" s="13">
        <f>B43-C43</f>
        <v>0</v>
      </c>
    </row>
    <row r="44" spans="1:4" ht="12.75" hidden="1">
      <c r="A44" s="9" t="s">
        <v>22</v>
      </c>
      <c r="B44" s="13"/>
      <c r="C44" s="13"/>
      <c r="D44" s="13">
        <f>B44-C44</f>
        <v>0</v>
      </c>
    </row>
    <row r="45" spans="1:4" ht="12.75" hidden="1">
      <c r="A45" s="9" t="s">
        <v>23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B11+B24+B37+B40</f>
        <v>782509.2800000001</v>
      </c>
      <c r="C46" s="8">
        <f>C11+C24+C37+C40</f>
        <v>796427.2799999999</v>
      </c>
      <c r="D46" s="8">
        <f>D11+D24+D37+D40</f>
        <v>-13917.999999999973</v>
      </c>
    </row>
    <row r="48" spans="1:4" ht="12.75">
      <c r="A48" t="s">
        <v>27</v>
      </c>
      <c r="D48" s="12">
        <f>D46</f>
        <v>-13917.999999999973</v>
      </c>
    </row>
    <row r="50" spans="1:4" ht="12.75">
      <c r="A50" s="11" t="s">
        <v>28</v>
      </c>
      <c r="D50" s="12">
        <f>D51+D52</f>
        <v>56209.356</v>
      </c>
    </row>
    <row r="51" spans="1:4" ht="12.75" hidden="1">
      <c r="A51" s="11" t="s">
        <v>29</v>
      </c>
      <c r="D51" s="12">
        <f>(1.33*4*D3)+(1.21*8*D3)</f>
        <v>47155.5</v>
      </c>
    </row>
    <row r="52" spans="1:4" ht="12.75" hidden="1">
      <c r="A52" s="11" t="s">
        <v>30</v>
      </c>
      <c r="D52" s="12">
        <f>(0.24*12*D3)</f>
        <v>9053.856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773.7*0.22*4+(773.7*2.5)</f>
        <v>2615.1059999999998</v>
      </c>
    </row>
    <row r="55" spans="1:4" ht="12.75">
      <c r="A55" s="11" t="s">
        <v>80</v>
      </c>
      <c r="D55" s="12">
        <f>(2.66*4*D3)+(2.42*8*D3)</f>
        <v>94311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(0.72*3*D3)</f>
        <v>6790.392</v>
      </c>
    </row>
    <row r="58" spans="1:4" ht="12.75">
      <c r="A58" s="11" t="s">
        <v>33</v>
      </c>
      <c r="D58" s="12">
        <f>(1.45*4*D3)+(1.32*8*D3)</f>
        <v>51430.932</v>
      </c>
    </row>
    <row r="59" spans="1:4" ht="12.75">
      <c r="A59" s="11" t="s">
        <v>34</v>
      </c>
      <c r="D59" s="12">
        <f>(4.94*4*D3)+(4.51*8*D3)</f>
        <v>175544.20799999998</v>
      </c>
    </row>
    <row r="60" spans="1:4" ht="12.75">
      <c r="A60" s="11" t="s">
        <v>35</v>
      </c>
      <c r="D60" s="12">
        <f>(0.29*4*D3)+(0.26*8*D3)</f>
        <v>10185.588</v>
      </c>
    </row>
    <row r="61" spans="1:4" ht="12.75">
      <c r="A61" s="11" t="s">
        <v>78</v>
      </c>
      <c r="D61" s="12">
        <f>(3.87*4*D3)+(3.52*8*D3)</f>
        <v>137191.06799999997</v>
      </c>
    </row>
    <row r="62" spans="1:4" ht="12.75">
      <c r="A62" s="11" t="s">
        <v>36</v>
      </c>
      <c r="D62" s="12">
        <f>2.25*12*D4</f>
        <v>1647</v>
      </c>
    </row>
    <row r="63" spans="1:4" ht="12.75">
      <c r="A63" s="11" t="s">
        <v>37</v>
      </c>
      <c r="D63" s="12">
        <v>47797</v>
      </c>
    </row>
    <row r="64" spans="1:8" ht="12.75">
      <c r="A64" s="11" t="s">
        <v>38</v>
      </c>
      <c r="D64" s="12">
        <f>(0.91*4*D3)+(0.83*8*D3)</f>
        <v>32317.235999999997</v>
      </c>
      <c r="H64" s="22"/>
    </row>
    <row r="65" spans="1:8" ht="12.75" hidden="1">
      <c r="A65" s="14" t="s">
        <v>62</v>
      </c>
      <c r="D65" s="12">
        <v>0</v>
      </c>
      <c r="H65" s="22"/>
    </row>
    <row r="66" spans="1:8" ht="12.75">
      <c r="A66" s="11"/>
      <c r="D66" s="12"/>
      <c r="H66" s="22"/>
    </row>
    <row r="67" spans="1:8" ht="12.75">
      <c r="A67" s="11" t="s">
        <v>39</v>
      </c>
      <c r="D67" s="12">
        <f>D50+D53+D54+D55+D56+D57+D58+D59+D60+D61+D62+D63+D64+D65</f>
        <v>616038.8859999999</v>
      </c>
      <c r="H67" s="22"/>
    </row>
    <row r="68" spans="1:4" ht="12.75">
      <c r="A68" s="11"/>
      <c r="D68" s="12"/>
    </row>
    <row r="69" spans="1:4" ht="12.75">
      <c r="A69" t="s">
        <v>69</v>
      </c>
      <c r="D69" s="12">
        <f>C46-D67</f>
        <v>180388.39399999997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72"/>
  <dimension ref="A1:H69"/>
  <sheetViews>
    <sheetView zoomScalePageLayoutView="0" workbookViewId="0" topLeftCell="A25">
      <selection activeCell="D55" sqref="D55"/>
    </sheetView>
  </sheetViews>
  <sheetFormatPr defaultColWidth="9.140625" defaultRowHeight="12.75"/>
  <cols>
    <col min="1" max="1" width="12.8515625" style="0" customWidth="1"/>
    <col min="2" max="2" width="14.421875" style="0" customWidth="1"/>
    <col min="3" max="3" width="15.140625" style="0" customWidth="1"/>
    <col min="4" max="4" width="14.00390625" style="0" customWidth="1"/>
    <col min="5" max="5" width="5.57421875" style="0" customWidth="1"/>
    <col min="6" max="6" width="5.00390625" style="0" customWidth="1"/>
  </cols>
  <sheetData>
    <row r="1" spans="1:7" ht="12.75">
      <c r="A1" s="1" t="s">
        <v>0</v>
      </c>
      <c r="B1" s="2" t="s">
        <v>1</v>
      </c>
      <c r="C1" s="1" t="s">
        <v>63</v>
      </c>
      <c r="D1" s="1"/>
      <c r="E1" s="1" t="s">
        <v>2</v>
      </c>
      <c r="F1" s="3">
        <v>3</v>
      </c>
      <c r="G1">
        <v>2016</v>
      </c>
    </row>
    <row r="3" spans="1:5" ht="12.75">
      <c r="A3" t="s">
        <v>3</v>
      </c>
      <c r="D3" s="4">
        <v>3036.8</v>
      </c>
      <c r="E3" s="5" t="s">
        <v>40</v>
      </c>
    </row>
    <row r="4" spans="1:5" ht="12.75">
      <c r="A4" t="s">
        <v>4</v>
      </c>
      <c r="D4" s="4">
        <v>59</v>
      </c>
      <c r="E4" s="5"/>
    </row>
    <row r="5" spans="1:5" ht="12.75">
      <c r="A5" t="s">
        <v>5</v>
      </c>
      <c r="D5" s="4">
        <v>205</v>
      </c>
      <c r="E5" s="5" t="s">
        <v>6</v>
      </c>
    </row>
    <row r="6" spans="1:5" ht="12.75">
      <c r="A6" t="s">
        <v>7</v>
      </c>
      <c r="D6" s="4">
        <v>240.3</v>
      </c>
      <c r="E6" s="5" t="s">
        <v>40</v>
      </c>
    </row>
    <row r="7" spans="1:5" ht="12.75">
      <c r="A7" t="s">
        <v>8</v>
      </c>
      <c r="D7" s="4">
        <v>3196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752309.5599999999</v>
      </c>
      <c r="C11" s="8">
        <f>SUM(C12:C23)</f>
        <v>785507.8700000001</v>
      </c>
      <c r="D11" s="8">
        <f>SUM(D12:D23)</f>
        <v>-33198.31000000002</v>
      </c>
    </row>
    <row r="12" spans="1:4" ht="12.75">
      <c r="A12" s="9" t="s">
        <v>25</v>
      </c>
      <c r="B12" s="8">
        <v>60720.21</v>
      </c>
      <c r="C12" s="8">
        <v>51572.67</v>
      </c>
      <c r="D12" s="8">
        <f aca="true" t="shared" si="0" ref="D12:D23">B12-C12</f>
        <v>9147.54</v>
      </c>
    </row>
    <row r="13" spans="1:4" ht="12.75">
      <c r="A13" s="9" t="s">
        <v>13</v>
      </c>
      <c r="B13" s="8">
        <v>60720.21</v>
      </c>
      <c r="C13" s="13">
        <v>55744.12</v>
      </c>
      <c r="D13" s="8">
        <f t="shared" si="0"/>
        <v>4976.0899999999965</v>
      </c>
    </row>
    <row r="14" spans="1:4" ht="12.75">
      <c r="A14" s="9" t="s">
        <v>14</v>
      </c>
      <c r="B14" s="8">
        <v>60720.21</v>
      </c>
      <c r="C14" s="13">
        <v>55997.73</v>
      </c>
      <c r="D14" s="8">
        <f t="shared" si="0"/>
        <v>4722.479999999996</v>
      </c>
    </row>
    <row r="15" spans="1:4" ht="12.75">
      <c r="A15" s="9" t="s">
        <v>15</v>
      </c>
      <c r="B15" s="8">
        <v>60720.21</v>
      </c>
      <c r="C15" s="13">
        <v>65802.85</v>
      </c>
      <c r="D15" s="8">
        <f t="shared" si="0"/>
        <v>-5082.640000000007</v>
      </c>
    </row>
    <row r="16" spans="1:4" ht="12.75">
      <c r="A16" s="9" t="s">
        <v>16</v>
      </c>
      <c r="B16" s="8">
        <v>60720.21</v>
      </c>
      <c r="C16" s="13">
        <v>82588.02</v>
      </c>
      <c r="D16" s="8">
        <f t="shared" si="0"/>
        <v>-21867.810000000005</v>
      </c>
    </row>
    <row r="17" spans="1:4" ht="12.75">
      <c r="A17" s="9" t="s">
        <v>17</v>
      </c>
      <c r="B17" s="8">
        <v>60720.21</v>
      </c>
      <c r="C17" s="13">
        <v>55716.97</v>
      </c>
      <c r="D17" s="8">
        <f t="shared" si="0"/>
        <v>5003.239999999998</v>
      </c>
    </row>
    <row r="18" spans="1:4" ht="12.75">
      <c r="A18" s="9" t="s">
        <v>18</v>
      </c>
      <c r="B18" s="8">
        <v>60720.21</v>
      </c>
      <c r="C18" s="13">
        <v>54492.02</v>
      </c>
      <c r="D18" s="8">
        <f t="shared" si="0"/>
        <v>6228.190000000002</v>
      </c>
    </row>
    <row r="19" spans="1:4" ht="12.75">
      <c r="A19" s="9" t="s">
        <v>19</v>
      </c>
      <c r="B19" s="8">
        <v>60720.21</v>
      </c>
      <c r="C19" s="13">
        <v>59070.55</v>
      </c>
      <c r="D19" s="8">
        <f t="shared" si="0"/>
        <v>1649.6599999999962</v>
      </c>
    </row>
    <row r="20" spans="1:4" ht="12.75">
      <c r="A20" s="9" t="s">
        <v>20</v>
      </c>
      <c r="B20" s="13">
        <v>66774.47</v>
      </c>
      <c r="C20" s="13">
        <v>97842.1</v>
      </c>
      <c r="D20" s="8">
        <f t="shared" si="0"/>
        <v>-31067.630000000005</v>
      </c>
    </row>
    <row r="21" spans="1:4" ht="12.75">
      <c r="A21" s="9" t="s">
        <v>21</v>
      </c>
      <c r="B21" s="13">
        <v>66774.47</v>
      </c>
      <c r="C21" s="13">
        <v>78629.06</v>
      </c>
      <c r="D21" s="13">
        <f t="shared" si="0"/>
        <v>-11854.589999999997</v>
      </c>
    </row>
    <row r="22" spans="1:4" ht="12.75">
      <c r="A22" s="9" t="s">
        <v>22</v>
      </c>
      <c r="B22" s="13">
        <f>66774.47-550</f>
        <v>66224.47</v>
      </c>
      <c r="C22" s="13">
        <v>63996.65</v>
      </c>
      <c r="D22" s="13">
        <f t="shared" si="0"/>
        <v>2227.8199999999997</v>
      </c>
    </row>
    <row r="23" spans="1:4" ht="12.75">
      <c r="A23" s="9" t="s">
        <v>23</v>
      </c>
      <c r="B23" s="13">
        <v>66774.47</v>
      </c>
      <c r="C23" s="13">
        <v>64055.13</v>
      </c>
      <c r="D23" s="13">
        <f t="shared" si="0"/>
        <v>2719.340000000004</v>
      </c>
    </row>
    <row r="24" spans="1:4" ht="12.75">
      <c r="A24" s="7" t="s">
        <v>24</v>
      </c>
      <c r="B24" s="8">
        <f>SUM(B25:B36)</f>
        <v>648.96</v>
      </c>
      <c r="C24" s="8">
        <f>SUM(C25:C36)</f>
        <v>568.89</v>
      </c>
      <c r="D24" s="8">
        <f>SUM(D25:D36)</f>
        <v>80.06999999999996</v>
      </c>
    </row>
    <row r="25" spans="1:4" ht="12.75">
      <c r="A25" s="9" t="s">
        <v>25</v>
      </c>
      <c r="B25" s="8">
        <v>54.08</v>
      </c>
      <c r="C25" s="8">
        <v>44.25</v>
      </c>
      <c r="D25" s="8">
        <f aca="true" t="shared" si="1" ref="D25:D36">B25-C25</f>
        <v>9.829999999999998</v>
      </c>
    </row>
    <row r="26" spans="1:4" ht="12.75">
      <c r="A26" s="9" t="s">
        <v>13</v>
      </c>
      <c r="B26" s="8">
        <v>54.08</v>
      </c>
      <c r="C26" s="13">
        <v>37.61</v>
      </c>
      <c r="D26" s="8">
        <f t="shared" si="1"/>
        <v>16.47</v>
      </c>
    </row>
    <row r="27" spans="1:4" ht="12.75">
      <c r="A27" s="9" t="s">
        <v>14</v>
      </c>
      <c r="B27" s="8">
        <v>54.08</v>
      </c>
      <c r="C27" s="13">
        <v>50.44</v>
      </c>
      <c r="D27" s="8">
        <f t="shared" si="1"/>
        <v>3.6400000000000006</v>
      </c>
    </row>
    <row r="28" spans="1:4" ht="12.75">
      <c r="A28" s="9" t="s">
        <v>15</v>
      </c>
      <c r="B28" s="8">
        <v>54.08</v>
      </c>
      <c r="C28" s="13">
        <v>47.03</v>
      </c>
      <c r="D28" s="8">
        <f t="shared" si="1"/>
        <v>7.049999999999997</v>
      </c>
    </row>
    <row r="29" spans="1:4" ht="12.75">
      <c r="A29" s="9" t="s">
        <v>16</v>
      </c>
      <c r="B29" s="8">
        <v>54.08</v>
      </c>
      <c r="C29" s="13">
        <v>35.69</v>
      </c>
      <c r="D29" s="8">
        <f t="shared" si="1"/>
        <v>18.39</v>
      </c>
    </row>
    <row r="30" spans="1:4" ht="12.75">
      <c r="A30" s="9" t="s">
        <v>17</v>
      </c>
      <c r="B30" s="8">
        <v>54.08</v>
      </c>
      <c r="C30" s="13">
        <v>40.1</v>
      </c>
      <c r="D30" s="8">
        <f t="shared" si="1"/>
        <v>13.979999999999997</v>
      </c>
    </row>
    <row r="31" spans="1:4" ht="12.75">
      <c r="A31" s="9" t="s">
        <v>18</v>
      </c>
      <c r="B31" s="8">
        <v>54.08</v>
      </c>
      <c r="C31" s="13">
        <v>44.42</v>
      </c>
      <c r="D31" s="8">
        <f t="shared" si="1"/>
        <v>9.659999999999997</v>
      </c>
    </row>
    <row r="32" spans="1:4" ht="12.75">
      <c r="A32" s="9" t="s">
        <v>19</v>
      </c>
      <c r="B32" s="8">
        <v>54.08</v>
      </c>
      <c r="C32" s="13">
        <v>38.51</v>
      </c>
      <c r="D32" s="8">
        <f t="shared" si="1"/>
        <v>15.57</v>
      </c>
    </row>
    <row r="33" spans="1:4" ht="12.75">
      <c r="A33" s="9" t="s">
        <v>20</v>
      </c>
      <c r="B33" s="8">
        <v>54.08</v>
      </c>
      <c r="C33" s="13">
        <v>41.63</v>
      </c>
      <c r="D33" s="8">
        <f t="shared" si="1"/>
        <v>12.449999999999996</v>
      </c>
    </row>
    <row r="34" spans="1:4" ht="12.75">
      <c r="A34" s="9" t="s">
        <v>21</v>
      </c>
      <c r="B34" s="8">
        <v>54.08</v>
      </c>
      <c r="C34" s="13">
        <v>88.78</v>
      </c>
      <c r="D34" s="13">
        <f t="shared" si="1"/>
        <v>-34.7</v>
      </c>
    </row>
    <row r="35" spans="1:4" ht="12.75">
      <c r="A35" s="9" t="s">
        <v>22</v>
      </c>
      <c r="B35" s="8">
        <v>54.08</v>
      </c>
      <c r="C35" s="13">
        <v>57.91</v>
      </c>
      <c r="D35" s="13">
        <f t="shared" si="1"/>
        <v>-3.8299999999999983</v>
      </c>
    </row>
    <row r="36" spans="1:4" ht="12.75">
      <c r="A36" s="9" t="s">
        <v>23</v>
      </c>
      <c r="B36" s="8">
        <v>54.08</v>
      </c>
      <c r="C36" s="13">
        <v>42.52</v>
      </c>
      <c r="D36" s="13">
        <f t="shared" si="1"/>
        <v>11.559999999999995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42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19</v>
      </c>
      <c r="B41" s="8"/>
      <c r="C41" s="8"/>
      <c r="D41" s="8">
        <f>B41-C41</f>
        <v>0</v>
      </c>
    </row>
    <row r="42" spans="1:4" ht="12.75" hidden="1">
      <c r="A42" s="9" t="s">
        <v>20</v>
      </c>
      <c r="B42" s="13"/>
      <c r="C42" s="13"/>
      <c r="D42" s="8">
        <f>B42-C42</f>
        <v>0</v>
      </c>
    </row>
    <row r="43" spans="1:4" ht="12.75" hidden="1">
      <c r="A43" s="9" t="s">
        <v>21</v>
      </c>
      <c r="B43" s="13"/>
      <c r="C43" s="13"/>
      <c r="D43" s="13">
        <f>B43-C43</f>
        <v>0</v>
      </c>
    </row>
    <row r="44" spans="1:4" ht="12.75" hidden="1">
      <c r="A44" s="9" t="s">
        <v>22</v>
      </c>
      <c r="B44" s="13"/>
      <c r="C44" s="13"/>
      <c r="D44" s="13">
        <f>B44-C44</f>
        <v>0</v>
      </c>
    </row>
    <row r="45" spans="1:4" ht="12.75" hidden="1">
      <c r="A45" s="9" t="s">
        <v>23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752958.5199999999</v>
      </c>
      <c r="C46" s="8">
        <f>C11+C24</f>
        <v>786076.7600000001</v>
      </c>
      <c r="D46" s="8">
        <f>D11+D24</f>
        <v>-33118.24000000002</v>
      </c>
    </row>
    <row r="48" spans="1:4" ht="12.75">
      <c r="A48" t="s">
        <v>27</v>
      </c>
      <c r="D48" s="12">
        <f>D46</f>
        <v>-33118.24000000002</v>
      </c>
    </row>
    <row r="50" spans="1:4" ht="12.75">
      <c r="A50" s="11" t="s">
        <v>28</v>
      </c>
      <c r="D50" s="12">
        <f>D51+D52</f>
        <v>54297.984</v>
      </c>
    </row>
    <row r="51" spans="1:4" ht="12.75" hidden="1">
      <c r="A51" s="11" t="s">
        <v>29</v>
      </c>
      <c r="D51" s="12">
        <f>(1.33*4*D3)+(1.21*8*D3)</f>
        <v>45552</v>
      </c>
    </row>
    <row r="52" spans="1:4" ht="12.75" hidden="1">
      <c r="A52" s="11" t="s">
        <v>30</v>
      </c>
      <c r="D52" s="12">
        <f>(0.24*12*D3)</f>
        <v>8745.984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773.7*0.22*4+(773.7*2.5)</f>
        <v>2615.1059999999998</v>
      </c>
    </row>
    <row r="55" spans="1:4" ht="12.75">
      <c r="A55" s="11" t="s">
        <v>80</v>
      </c>
      <c r="D55" s="12">
        <f>(2.66*4*D3)+(2.42*8*D3)</f>
        <v>91104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(0.72*3*D3)</f>
        <v>6559.488000000001</v>
      </c>
    </row>
    <row r="58" spans="1:4" ht="12.75">
      <c r="A58" s="11" t="s">
        <v>33</v>
      </c>
      <c r="D58" s="12">
        <f>(1.45*4*D3)+(1.32*8*D3)</f>
        <v>49682.04800000001</v>
      </c>
    </row>
    <row r="59" spans="1:4" ht="12.75">
      <c r="A59" s="11" t="s">
        <v>34</v>
      </c>
      <c r="D59" s="12">
        <f>(4.94*4*D3)+(4.51*8*D3)</f>
        <v>169574.912</v>
      </c>
    </row>
    <row r="60" spans="1:4" ht="12.75">
      <c r="A60" s="11" t="s">
        <v>35</v>
      </c>
      <c r="D60" s="12">
        <f>(0.29*4*D3)+(0.26*8*D3)</f>
        <v>9839.232</v>
      </c>
    </row>
    <row r="61" spans="1:4" ht="12.75">
      <c r="A61" s="11" t="s">
        <v>78</v>
      </c>
      <c r="D61" s="12">
        <f>(3.87*4*D3)+(3.52*8*D3)</f>
        <v>132525.952</v>
      </c>
    </row>
    <row r="62" spans="1:4" ht="12.75">
      <c r="A62" s="11" t="s">
        <v>36</v>
      </c>
      <c r="D62" s="12">
        <f>2.25*12*D4</f>
        <v>1593</v>
      </c>
    </row>
    <row r="63" spans="1:4" ht="12.75">
      <c r="A63" s="11" t="s">
        <v>37</v>
      </c>
      <c r="D63" s="12">
        <v>83987</v>
      </c>
    </row>
    <row r="64" spans="1:8" ht="12.75">
      <c r="A64" s="11" t="s">
        <v>38</v>
      </c>
      <c r="D64" s="12">
        <f>(0.91*4*D3)+(0.83*8*D3)</f>
        <v>31218.304</v>
      </c>
      <c r="H64" s="22"/>
    </row>
    <row r="65" spans="1:4" ht="12.75" hidden="1">
      <c r="A65" s="14" t="s">
        <v>62</v>
      </c>
      <c r="D65" s="12">
        <v>0</v>
      </c>
    </row>
    <row r="66" spans="1:8" ht="12.75">
      <c r="A66" s="11"/>
      <c r="D66" s="12"/>
      <c r="H66" s="22"/>
    </row>
    <row r="67" spans="1:4" ht="12.75">
      <c r="A67" s="11" t="s">
        <v>39</v>
      </c>
      <c r="D67" s="12">
        <f>D50+D53+D54+D55+D56+D57+D58+D59+D60+D61+D62+D63+D64+D65</f>
        <v>632997.0260000001</v>
      </c>
    </row>
    <row r="68" spans="1:4" ht="12.75">
      <c r="A68" s="11"/>
      <c r="D68" s="12"/>
    </row>
    <row r="69" spans="1:4" ht="12.75">
      <c r="A69" t="s">
        <v>69</v>
      </c>
      <c r="D69" s="12">
        <f>C46-D67</f>
        <v>153079.73400000005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73"/>
  <dimension ref="A1:G79"/>
  <sheetViews>
    <sheetView zoomScalePageLayoutView="0" workbookViewId="0" topLeftCell="A1">
      <selection activeCell="D75" sqref="D75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12.57421875" style="0" customWidth="1"/>
    <col min="4" max="4" width="12.28125" style="0" customWidth="1"/>
    <col min="5" max="5" width="4.7109375" style="0" customWidth="1"/>
    <col min="6" max="6" width="4.57421875" style="0" customWidth="1"/>
  </cols>
  <sheetData>
    <row r="1" spans="1:7" ht="12.75">
      <c r="A1" s="1" t="s">
        <v>0</v>
      </c>
      <c r="B1" s="2" t="s">
        <v>1</v>
      </c>
      <c r="C1" s="1" t="s">
        <v>63</v>
      </c>
      <c r="D1" s="1"/>
      <c r="E1" s="1" t="s">
        <v>2</v>
      </c>
      <c r="F1" s="3">
        <v>4</v>
      </c>
      <c r="G1">
        <v>2016</v>
      </c>
    </row>
    <row r="3" spans="1:5" ht="12.75">
      <c r="A3" t="s">
        <v>3</v>
      </c>
      <c r="D3" s="4">
        <v>820.8</v>
      </c>
      <c r="E3" s="5" t="s">
        <v>40</v>
      </c>
    </row>
    <row r="4" spans="1:5" ht="12.75">
      <c r="A4" t="s">
        <v>4</v>
      </c>
      <c r="D4" s="4">
        <v>18</v>
      </c>
      <c r="E4" s="5"/>
    </row>
    <row r="5" spans="1:5" ht="12.75">
      <c r="A5" t="s">
        <v>5</v>
      </c>
      <c r="D5" s="4">
        <v>64</v>
      </c>
      <c r="E5" s="5" t="s">
        <v>6</v>
      </c>
    </row>
    <row r="6" spans="1:5" ht="12.75">
      <c r="A6" t="s">
        <v>7</v>
      </c>
      <c r="D6" s="4">
        <v>126.9</v>
      </c>
      <c r="E6" s="5" t="s">
        <v>40</v>
      </c>
    </row>
    <row r="7" spans="1:5" ht="12.75">
      <c r="A7" t="s">
        <v>8</v>
      </c>
      <c r="D7" s="4">
        <v>1585.2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183672.60000000003</v>
      </c>
      <c r="C11" s="8">
        <f>SUM(C12:C23)</f>
        <v>179521.43000000002</v>
      </c>
      <c r="D11" s="8">
        <f>SUM(D12:D23)</f>
        <v>4151.169999999989</v>
      </c>
    </row>
    <row r="12" spans="1:4" ht="12.75">
      <c r="A12" s="9" t="s">
        <v>25</v>
      </c>
      <c r="B12" s="8">
        <v>14813.63</v>
      </c>
      <c r="C12" s="8">
        <v>12821.12</v>
      </c>
      <c r="D12" s="8">
        <f aca="true" t="shared" si="0" ref="D12:D23">B12-C12</f>
        <v>1992.5099999999984</v>
      </c>
    </row>
    <row r="13" spans="1:4" ht="12.75">
      <c r="A13" s="9" t="s">
        <v>13</v>
      </c>
      <c r="B13" s="8">
        <v>14813.63</v>
      </c>
      <c r="C13" s="13">
        <v>12893.11</v>
      </c>
      <c r="D13" s="8">
        <f t="shared" si="0"/>
        <v>1920.5199999999986</v>
      </c>
    </row>
    <row r="14" spans="1:4" ht="12.75">
      <c r="A14" s="9" t="s">
        <v>14</v>
      </c>
      <c r="B14" s="8">
        <v>14813.63</v>
      </c>
      <c r="C14" s="13">
        <v>12695.75</v>
      </c>
      <c r="D14" s="8">
        <f t="shared" si="0"/>
        <v>2117.879999999999</v>
      </c>
    </row>
    <row r="15" spans="1:4" ht="12.75">
      <c r="A15" s="9" t="s">
        <v>15</v>
      </c>
      <c r="B15" s="8">
        <v>14813.63</v>
      </c>
      <c r="C15" s="13">
        <v>12893.11</v>
      </c>
      <c r="D15" s="8">
        <f t="shared" si="0"/>
        <v>1920.5199999999986</v>
      </c>
    </row>
    <row r="16" spans="1:4" ht="12.75">
      <c r="A16" s="9" t="s">
        <v>16</v>
      </c>
      <c r="B16" s="8">
        <v>14813.63</v>
      </c>
      <c r="C16" s="13">
        <v>13134.98</v>
      </c>
      <c r="D16" s="8">
        <f t="shared" si="0"/>
        <v>1678.6499999999996</v>
      </c>
    </row>
    <row r="17" spans="1:4" ht="12.75">
      <c r="A17" s="9" t="s">
        <v>17</v>
      </c>
      <c r="B17" s="8">
        <v>14813.63</v>
      </c>
      <c r="C17" s="13">
        <v>12342.59</v>
      </c>
      <c r="D17" s="8">
        <f t="shared" si="0"/>
        <v>2471.039999999999</v>
      </c>
    </row>
    <row r="18" spans="1:4" ht="12.75">
      <c r="A18" s="9" t="s">
        <v>18</v>
      </c>
      <c r="B18" s="8">
        <v>14813.63</v>
      </c>
      <c r="C18" s="13">
        <v>11825.2</v>
      </c>
      <c r="D18" s="8">
        <f t="shared" si="0"/>
        <v>2988.4299999999985</v>
      </c>
    </row>
    <row r="19" spans="1:4" ht="12.75">
      <c r="A19" s="9" t="s">
        <v>19</v>
      </c>
      <c r="B19" s="8">
        <v>14813.63</v>
      </c>
      <c r="C19" s="13">
        <v>15615.49</v>
      </c>
      <c r="D19" s="8">
        <f t="shared" si="0"/>
        <v>-801.8600000000006</v>
      </c>
    </row>
    <row r="20" spans="1:4" ht="12.75">
      <c r="A20" s="9" t="s">
        <v>20</v>
      </c>
      <c r="B20" s="13">
        <v>16290.89</v>
      </c>
      <c r="C20" s="13">
        <v>12702.02</v>
      </c>
      <c r="D20" s="8">
        <f t="shared" si="0"/>
        <v>3588.869999999999</v>
      </c>
    </row>
    <row r="21" spans="1:4" ht="12.75">
      <c r="A21" s="9" t="s">
        <v>21</v>
      </c>
      <c r="B21" s="13">
        <v>16290.89</v>
      </c>
      <c r="C21" s="13">
        <v>27441.31</v>
      </c>
      <c r="D21" s="13">
        <f t="shared" si="0"/>
        <v>-11150.420000000002</v>
      </c>
    </row>
    <row r="22" spans="1:4" ht="12.75">
      <c r="A22" s="9" t="s">
        <v>22</v>
      </c>
      <c r="B22" s="13">
        <v>16290.89</v>
      </c>
      <c r="C22" s="13">
        <v>21609.12</v>
      </c>
      <c r="D22" s="13">
        <f t="shared" si="0"/>
        <v>-5318.23</v>
      </c>
    </row>
    <row r="23" spans="1:4" ht="12.75">
      <c r="A23" s="9" t="s">
        <v>23</v>
      </c>
      <c r="B23" s="13">
        <v>16290.89</v>
      </c>
      <c r="C23" s="13">
        <v>13547.63</v>
      </c>
      <c r="D23" s="13">
        <f t="shared" si="0"/>
        <v>2743.26</v>
      </c>
    </row>
    <row r="24" spans="1:4" ht="12.75">
      <c r="A24" s="7" t="s">
        <v>24</v>
      </c>
      <c r="B24" s="8">
        <f>SUM(B25:B36)</f>
        <v>244.92</v>
      </c>
      <c r="C24" s="8">
        <f>SUM(C25:C36)</f>
        <v>251.79000000000005</v>
      </c>
      <c r="D24" s="8">
        <f>SUM(D25:D36)</f>
        <v>-6.869999999999997</v>
      </c>
    </row>
    <row r="25" spans="1:4" ht="12.75">
      <c r="A25" s="9" t="s">
        <v>25</v>
      </c>
      <c r="B25" s="8">
        <v>20.41</v>
      </c>
      <c r="C25" s="8">
        <v>12.96</v>
      </c>
      <c r="D25" s="8">
        <f aca="true" t="shared" si="1" ref="D25:D36">B25-C25</f>
        <v>7.449999999999999</v>
      </c>
    </row>
    <row r="26" spans="1:4" ht="12.75">
      <c r="A26" s="9" t="s">
        <v>13</v>
      </c>
      <c r="B26" s="8">
        <v>20.41</v>
      </c>
      <c r="C26" s="8">
        <v>12.96</v>
      </c>
      <c r="D26" s="8">
        <f t="shared" si="1"/>
        <v>7.449999999999999</v>
      </c>
    </row>
    <row r="27" spans="1:4" ht="12.75">
      <c r="A27" s="9" t="s">
        <v>14</v>
      </c>
      <c r="B27" s="8">
        <v>20.41</v>
      </c>
      <c r="C27" s="13">
        <v>17.41</v>
      </c>
      <c r="D27" s="8">
        <f t="shared" si="1"/>
        <v>3</v>
      </c>
    </row>
    <row r="28" spans="1:4" ht="12.75">
      <c r="A28" s="9" t="s">
        <v>15</v>
      </c>
      <c r="B28" s="8">
        <v>20.41</v>
      </c>
      <c r="C28" s="13">
        <v>12.96</v>
      </c>
      <c r="D28" s="8">
        <f t="shared" si="1"/>
        <v>7.449999999999999</v>
      </c>
    </row>
    <row r="29" spans="1:4" ht="12.75">
      <c r="A29" s="9" t="s">
        <v>16</v>
      </c>
      <c r="B29" s="8">
        <v>20.41</v>
      </c>
      <c r="C29" s="13">
        <v>12.96</v>
      </c>
      <c r="D29" s="8">
        <f t="shared" si="1"/>
        <v>7.449999999999999</v>
      </c>
    </row>
    <row r="30" spans="1:4" ht="12.75">
      <c r="A30" s="9" t="s">
        <v>17</v>
      </c>
      <c r="B30" s="8">
        <v>20.41</v>
      </c>
      <c r="C30" s="13">
        <v>12.96</v>
      </c>
      <c r="D30" s="8">
        <f t="shared" si="1"/>
        <v>7.449999999999999</v>
      </c>
    </row>
    <row r="31" spans="1:4" ht="12.75">
      <c r="A31" s="9" t="s">
        <v>18</v>
      </c>
      <c r="B31" s="8">
        <v>20.41</v>
      </c>
      <c r="C31" s="13">
        <v>12.96</v>
      </c>
      <c r="D31" s="8">
        <f t="shared" si="1"/>
        <v>7.449999999999999</v>
      </c>
    </row>
    <row r="32" spans="1:4" ht="12.75">
      <c r="A32" s="9" t="s">
        <v>19</v>
      </c>
      <c r="B32" s="8">
        <v>20.41</v>
      </c>
      <c r="C32" s="13">
        <v>12.96</v>
      </c>
      <c r="D32" s="8">
        <f t="shared" si="1"/>
        <v>7.449999999999999</v>
      </c>
    </row>
    <row r="33" spans="1:4" ht="12.75">
      <c r="A33" s="9" t="s">
        <v>20</v>
      </c>
      <c r="B33" s="8">
        <v>20.41</v>
      </c>
      <c r="C33" s="13">
        <v>12.96</v>
      </c>
      <c r="D33" s="8">
        <f t="shared" si="1"/>
        <v>7.449999999999999</v>
      </c>
    </row>
    <row r="34" spans="1:4" ht="12.75">
      <c r="A34" s="9" t="s">
        <v>21</v>
      </c>
      <c r="B34" s="8">
        <v>20.41</v>
      </c>
      <c r="C34" s="13">
        <v>66.53</v>
      </c>
      <c r="D34" s="13">
        <f t="shared" si="1"/>
        <v>-46.120000000000005</v>
      </c>
    </row>
    <row r="35" spans="1:4" ht="12.75">
      <c r="A35" s="9" t="s">
        <v>22</v>
      </c>
      <c r="B35" s="8">
        <v>20.41</v>
      </c>
      <c r="C35" s="13">
        <v>51.21</v>
      </c>
      <c r="D35" s="13">
        <f t="shared" si="1"/>
        <v>-30.8</v>
      </c>
    </row>
    <row r="36" spans="1:4" ht="12.75">
      <c r="A36" s="9" t="s">
        <v>23</v>
      </c>
      <c r="B36" s="8">
        <v>20.41</v>
      </c>
      <c r="C36" s="13">
        <v>12.96</v>
      </c>
      <c r="D36" s="13">
        <f t="shared" si="1"/>
        <v>7.449999999999999</v>
      </c>
    </row>
    <row r="37" spans="1:4" ht="12.75" hidden="1">
      <c r="A37" s="7" t="s">
        <v>41</v>
      </c>
      <c r="B37" s="8">
        <f>SUM(B38:B49)</f>
        <v>0</v>
      </c>
      <c r="C37" s="8">
        <f>SUM(C38:C49)</f>
        <v>0</v>
      </c>
      <c r="D37" s="8">
        <f>SUM(D38:D49)</f>
        <v>0</v>
      </c>
    </row>
    <row r="38" spans="1:4" ht="12.75" hidden="1">
      <c r="A38" s="9" t="s">
        <v>25</v>
      </c>
      <c r="B38" s="8"/>
      <c r="C38" s="8"/>
      <c r="D38" s="8">
        <f aca="true" t="shared" si="2" ref="D38:D44">B38-C38</f>
        <v>0</v>
      </c>
    </row>
    <row r="39" spans="1:4" ht="12.75" hidden="1">
      <c r="A39" s="9" t="s">
        <v>13</v>
      </c>
      <c r="B39" s="13"/>
      <c r="C39" s="13"/>
      <c r="D39" s="8">
        <f t="shared" si="2"/>
        <v>0</v>
      </c>
    </row>
    <row r="40" spans="1:4" ht="12.75" hidden="1">
      <c r="A40" s="9" t="s">
        <v>14</v>
      </c>
      <c r="B40" s="13"/>
      <c r="C40" s="13"/>
      <c r="D40" s="8">
        <f t="shared" si="2"/>
        <v>0</v>
      </c>
    </row>
    <row r="41" spans="1:4" ht="12.75" hidden="1">
      <c r="A41" s="9" t="s">
        <v>15</v>
      </c>
      <c r="B41" s="13"/>
      <c r="C41" s="13"/>
      <c r="D41" s="8">
        <f t="shared" si="2"/>
        <v>0</v>
      </c>
    </row>
    <row r="42" spans="1:4" ht="12.75" hidden="1">
      <c r="A42" s="9" t="s">
        <v>16</v>
      </c>
      <c r="B42" s="13"/>
      <c r="C42" s="13"/>
      <c r="D42" s="8">
        <f t="shared" si="2"/>
        <v>0</v>
      </c>
    </row>
    <row r="43" spans="1:4" ht="12.75" hidden="1">
      <c r="A43" s="9" t="s">
        <v>17</v>
      </c>
      <c r="B43" s="13"/>
      <c r="C43" s="13"/>
      <c r="D43" s="8">
        <f t="shared" si="2"/>
        <v>0</v>
      </c>
    </row>
    <row r="44" spans="1:4" ht="12.75" hidden="1">
      <c r="A44" s="9" t="s">
        <v>18</v>
      </c>
      <c r="B44" s="13"/>
      <c r="C44" s="13"/>
      <c r="D44" s="8">
        <f t="shared" si="2"/>
        <v>0</v>
      </c>
    </row>
    <row r="45" spans="1:4" ht="12.75" hidden="1">
      <c r="A45" s="9" t="s">
        <v>19</v>
      </c>
      <c r="B45" s="8"/>
      <c r="C45" s="8"/>
      <c r="D45" s="8">
        <f>B45-C45</f>
        <v>0</v>
      </c>
    </row>
    <row r="46" spans="1:4" ht="12.75" hidden="1">
      <c r="A46" s="9" t="s">
        <v>20</v>
      </c>
      <c r="B46" s="13"/>
      <c r="C46" s="13"/>
      <c r="D46" s="8">
        <f>B46-C46</f>
        <v>0</v>
      </c>
    </row>
    <row r="47" spans="1:4" ht="12.75" hidden="1">
      <c r="A47" s="9" t="s">
        <v>21</v>
      </c>
      <c r="B47" s="13"/>
      <c r="C47" s="13"/>
      <c r="D47" s="13">
        <f>B47-C47</f>
        <v>0</v>
      </c>
    </row>
    <row r="48" spans="1:4" ht="12.75" hidden="1">
      <c r="A48" s="9" t="s">
        <v>22</v>
      </c>
      <c r="B48" s="13"/>
      <c r="C48" s="13"/>
      <c r="D48" s="13">
        <f>B48-C48</f>
        <v>0</v>
      </c>
    </row>
    <row r="49" spans="1:4" ht="12.75" hidden="1">
      <c r="A49" s="9" t="s">
        <v>23</v>
      </c>
      <c r="B49" s="13"/>
      <c r="C49" s="13"/>
      <c r="D49" s="13">
        <f>B49-C49</f>
        <v>0</v>
      </c>
    </row>
    <row r="50" spans="1:4" ht="12.75" hidden="1">
      <c r="A50" s="7" t="s">
        <v>42</v>
      </c>
      <c r="B50" s="13">
        <f>B51+B52+B53+B54+B55</f>
        <v>0</v>
      </c>
      <c r="C50" s="13">
        <f>C51+C52+C53+C54+C55</f>
        <v>0</v>
      </c>
      <c r="D50" s="13">
        <f>SUM(D51:D55)</f>
        <v>0</v>
      </c>
    </row>
    <row r="51" spans="1:4" ht="12.75" hidden="1">
      <c r="A51" s="9" t="s">
        <v>19</v>
      </c>
      <c r="B51" s="8"/>
      <c r="C51" s="8"/>
      <c r="D51" s="8">
        <f>B51-C51</f>
        <v>0</v>
      </c>
    </row>
    <row r="52" spans="1:4" ht="12.75" hidden="1">
      <c r="A52" s="9" t="s">
        <v>20</v>
      </c>
      <c r="B52" s="13"/>
      <c r="C52" s="13"/>
      <c r="D52" s="8">
        <f>B52-C52</f>
        <v>0</v>
      </c>
    </row>
    <row r="53" spans="1:4" ht="12.75" hidden="1">
      <c r="A53" s="9" t="s">
        <v>21</v>
      </c>
      <c r="B53" s="13"/>
      <c r="C53" s="13"/>
      <c r="D53" s="13">
        <f>B53-C53</f>
        <v>0</v>
      </c>
    </row>
    <row r="54" spans="1:4" ht="12.75" hidden="1">
      <c r="A54" s="9" t="s">
        <v>22</v>
      </c>
      <c r="B54" s="13"/>
      <c r="C54" s="13"/>
      <c r="D54" s="13">
        <f>B54-C54</f>
        <v>0</v>
      </c>
    </row>
    <row r="55" spans="1:4" ht="12.75" hidden="1">
      <c r="A55" s="9" t="s">
        <v>23</v>
      </c>
      <c r="B55" s="13"/>
      <c r="C55" s="13"/>
      <c r="D55" s="13">
        <f>B55-C55</f>
        <v>0</v>
      </c>
    </row>
    <row r="56" spans="1:4" ht="12.75">
      <c r="A56" s="9" t="s">
        <v>26</v>
      </c>
      <c r="B56" s="8">
        <f>B11+B24</f>
        <v>183917.52000000005</v>
      </c>
      <c r="C56" s="8">
        <f>C11+C24</f>
        <v>179773.22000000003</v>
      </c>
      <c r="D56" s="8">
        <f>D11+D24</f>
        <v>4144.299999999989</v>
      </c>
    </row>
    <row r="58" spans="1:4" ht="12.75">
      <c r="A58" t="s">
        <v>27</v>
      </c>
      <c r="D58" s="12">
        <f>D56</f>
        <v>4144.299999999989</v>
      </c>
    </row>
    <row r="60" spans="1:4" ht="12.75">
      <c r="A60" s="11" t="s">
        <v>28</v>
      </c>
      <c r="D60" s="12">
        <f>D61+D62</f>
        <v>14675.904</v>
      </c>
    </row>
    <row r="61" spans="1:4" ht="12.75" customHeight="1">
      <c r="A61" s="11" t="s">
        <v>29</v>
      </c>
      <c r="D61" s="12">
        <f>(1.33*4*D3)+(1.21*8*D3)</f>
        <v>12312</v>
      </c>
    </row>
    <row r="62" spans="1:4" ht="12.75" customHeight="1">
      <c r="A62" s="11" t="s">
        <v>30</v>
      </c>
      <c r="D62" s="12">
        <f>(0.24*12*D3)</f>
        <v>2363.904</v>
      </c>
    </row>
    <row r="63" spans="1:4" ht="12.75">
      <c r="A63" s="11" t="s">
        <v>31</v>
      </c>
      <c r="D63" s="12">
        <v>0</v>
      </c>
    </row>
    <row r="64" spans="1:4" ht="12.75">
      <c r="A64" s="11" t="s">
        <v>77</v>
      </c>
      <c r="D64" s="12">
        <f>773.7*0.22*4+(773.7*2.5)</f>
        <v>2615.1059999999998</v>
      </c>
    </row>
    <row r="65" spans="1:4" ht="12.75">
      <c r="A65" s="11" t="s">
        <v>80</v>
      </c>
      <c r="D65" s="12">
        <f>(2.66*4*D3)+(2.42*8*D3)</f>
        <v>24624</v>
      </c>
    </row>
    <row r="66" spans="1:4" ht="12.75">
      <c r="A66" s="11" t="s">
        <v>32</v>
      </c>
      <c r="D66" s="12">
        <v>0</v>
      </c>
    </row>
    <row r="67" spans="1:4" ht="12.75">
      <c r="A67" s="11" t="s">
        <v>76</v>
      </c>
      <c r="D67" s="12">
        <f>(0.72*3*D3)</f>
        <v>1772.928</v>
      </c>
    </row>
    <row r="68" spans="1:4" ht="12.75">
      <c r="A68" s="11" t="s">
        <v>33</v>
      </c>
      <c r="D68" s="12">
        <f>(1.45*4*D3)+(1.32*8*D3)</f>
        <v>13428.287999999999</v>
      </c>
    </row>
    <row r="69" spans="1:4" ht="12.75">
      <c r="A69" s="11" t="s">
        <v>34</v>
      </c>
      <c r="D69" s="12">
        <f>(4.94*4*D3)+(4.51*8*D3)</f>
        <v>45833.471999999994</v>
      </c>
    </row>
    <row r="70" spans="1:4" ht="12.75">
      <c r="A70" s="11" t="s">
        <v>35</v>
      </c>
      <c r="D70" s="12">
        <f>(0.29*4*D3)+(0.26*8*D3)</f>
        <v>2659.392</v>
      </c>
    </row>
    <row r="71" spans="1:4" ht="12.75">
      <c r="A71" s="11" t="s">
        <v>78</v>
      </c>
      <c r="D71" s="12">
        <f>(3.87*4*D3)+(3.52*8*D3)</f>
        <v>35819.712</v>
      </c>
    </row>
    <row r="72" spans="1:4" ht="12.75">
      <c r="A72" s="11" t="s">
        <v>36</v>
      </c>
      <c r="D72" s="12">
        <f>2.25*12*D4</f>
        <v>486</v>
      </c>
    </row>
    <row r="73" spans="1:4" ht="12.75">
      <c r="A73" s="11" t="s">
        <v>37</v>
      </c>
      <c r="D73" s="12">
        <v>0</v>
      </c>
    </row>
    <row r="74" spans="1:4" ht="12.75">
      <c r="A74" s="11" t="s">
        <v>38</v>
      </c>
      <c r="D74" s="12">
        <f>(0.91*4*D3)+(0.83*8*D3)</f>
        <v>8437.823999999999</v>
      </c>
    </row>
    <row r="75" spans="1:4" ht="12.75">
      <c r="A75" s="14" t="s">
        <v>62</v>
      </c>
      <c r="D75" s="12">
        <v>0</v>
      </c>
    </row>
    <row r="76" spans="1:4" ht="12.75">
      <c r="A76" s="11"/>
      <c r="D76" s="12"/>
    </row>
    <row r="77" spans="1:4" ht="12.75">
      <c r="A77" s="11" t="s">
        <v>39</v>
      </c>
      <c r="D77" s="12">
        <f>D60+D64+D65+D67+D68+D69+D70+D71+D72+D73+D74</f>
        <v>150352.626</v>
      </c>
    </row>
    <row r="78" spans="1:4" ht="12.75">
      <c r="A78" s="11"/>
      <c r="D78" s="12"/>
    </row>
    <row r="79" spans="1:4" ht="12.75">
      <c r="A79" t="s">
        <v>69</v>
      </c>
      <c r="D79" s="12">
        <f>C56-D77</f>
        <v>29420.59400000004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74"/>
  <dimension ref="A1:G69"/>
  <sheetViews>
    <sheetView zoomScalePageLayoutView="0" workbookViewId="0" topLeftCell="A1">
      <selection activeCell="A65" sqref="A65:IV65"/>
    </sheetView>
  </sheetViews>
  <sheetFormatPr defaultColWidth="9.140625" defaultRowHeight="12.75"/>
  <cols>
    <col min="1" max="1" width="15.140625" style="0" customWidth="1"/>
    <col min="2" max="2" width="13.421875" style="0" customWidth="1"/>
    <col min="3" max="3" width="12.7109375" style="0" customWidth="1"/>
    <col min="4" max="4" width="11.8515625" style="0" customWidth="1"/>
    <col min="5" max="5" width="3.8515625" style="0" customWidth="1"/>
    <col min="6" max="6" width="3.28125" style="0" customWidth="1"/>
  </cols>
  <sheetData>
    <row r="1" spans="1:7" ht="12.75">
      <c r="A1" s="1" t="s">
        <v>0</v>
      </c>
      <c r="B1" s="2" t="s">
        <v>1</v>
      </c>
      <c r="C1" s="1" t="s">
        <v>63</v>
      </c>
      <c r="D1" s="1"/>
      <c r="E1" s="1" t="s">
        <v>2</v>
      </c>
      <c r="F1" s="3">
        <v>5</v>
      </c>
      <c r="G1">
        <v>2016</v>
      </c>
    </row>
    <row r="3" spans="1:5" ht="12.75">
      <c r="A3" t="s">
        <v>3</v>
      </c>
      <c r="D3" s="4">
        <v>1015</v>
      </c>
      <c r="E3" s="5" t="s">
        <v>40</v>
      </c>
    </row>
    <row r="4" spans="1:5" ht="12.75">
      <c r="A4" t="s">
        <v>4</v>
      </c>
      <c r="D4" s="4">
        <v>24</v>
      </c>
      <c r="E4" s="5"/>
    </row>
    <row r="5" spans="1:5" ht="12.75">
      <c r="A5" t="s">
        <v>5</v>
      </c>
      <c r="D5" s="4">
        <v>62</v>
      </c>
      <c r="E5" s="5" t="s">
        <v>6</v>
      </c>
    </row>
    <row r="6" spans="1:5" ht="12.75">
      <c r="A6" t="s">
        <v>7</v>
      </c>
      <c r="D6" s="4">
        <v>95.2</v>
      </c>
      <c r="E6" s="5" t="s">
        <v>40</v>
      </c>
    </row>
    <row r="7" spans="1:5" ht="12.75">
      <c r="A7" t="s">
        <v>8</v>
      </c>
      <c r="D7" s="4">
        <v>1783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227156.92000000004</v>
      </c>
      <c r="C11" s="8">
        <f>SUM(C12:C23)</f>
        <v>217235.67</v>
      </c>
      <c r="D11" s="8">
        <f>SUM(D12:D23)</f>
        <v>9921.250000000005</v>
      </c>
    </row>
    <row r="12" spans="1:4" ht="12.75">
      <c r="A12" s="9" t="s">
        <v>25</v>
      </c>
      <c r="B12" s="8">
        <v>18320.75</v>
      </c>
      <c r="C12" s="8">
        <v>20859.35</v>
      </c>
      <c r="D12" s="8">
        <f aca="true" t="shared" si="0" ref="D12:D23">B12-C12</f>
        <v>-2538.5999999999985</v>
      </c>
    </row>
    <row r="13" spans="1:4" ht="12.75">
      <c r="A13" s="9" t="s">
        <v>13</v>
      </c>
      <c r="B13" s="8">
        <v>18320.75</v>
      </c>
      <c r="C13" s="13">
        <v>13725.22</v>
      </c>
      <c r="D13" s="8">
        <f t="shared" si="0"/>
        <v>4595.530000000001</v>
      </c>
    </row>
    <row r="14" spans="1:4" ht="12.75">
      <c r="A14" s="9" t="s">
        <v>14</v>
      </c>
      <c r="B14" s="8">
        <v>18320.75</v>
      </c>
      <c r="C14" s="13">
        <v>22623.98</v>
      </c>
      <c r="D14" s="8">
        <f t="shared" si="0"/>
        <v>-4303.23</v>
      </c>
    </row>
    <row r="15" spans="1:4" ht="12.75">
      <c r="A15" s="9" t="s">
        <v>15</v>
      </c>
      <c r="B15" s="8">
        <v>18320.75</v>
      </c>
      <c r="C15" s="13">
        <v>14571.08</v>
      </c>
      <c r="D15" s="8">
        <f t="shared" si="0"/>
        <v>3749.67</v>
      </c>
    </row>
    <row r="16" spans="1:4" ht="12.75">
      <c r="A16" s="9" t="s">
        <v>16</v>
      </c>
      <c r="B16" s="8">
        <v>18320.75</v>
      </c>
      <c r="C16" s="13">
        <v>14162.96</v>
      </c>
      <c r="D16" s="8">
        <f t="shared" si="0"/>
        <v>4157.790000000001</v>
      </c>
    </row>
    <row r="17" spans="1:4" ht="12.75">
      <c r="A17" s="9" t="s">
        <v>17</v>
      </c>
      <c r="B17" s="8">
        <v>18320.75</v>
      </c>
      <c r="C17" s="13">
        <v>14065.99</v>
      </c>
      <c r="D17" s="8">
        <f t="shared" si="0"/>
        <v>4254.76</v>
      </c>
    </row>
    <row r="18" spans="1:4" ht="12.75">
      <c r="A18" s="9" t="s">
        <v>18</v>
      </c>
      <c r="B18" s="8">
        <v>18320.75</v>
      </c>
      <c r="C18" s="13">
        <v>26526.92</v>
      </c>
      <c r="D18" s="8">
        <f t="shared" si="0"/>
        <v>-8206.169999999998</v>
      </c>
    </row>
    <row r="19" spans="1:4" ht="12.75">
      <c r="A19" s="9" t="s">
        <v>19</v>
      </c>
      <c r="B19" s="8">
        <v>18320.75</v>
      </c>
      <c r="C19" s="13">
        <v>19537.94</v>
      </c>
      <c r="D19" s="8">
        <f t="shared" si="0"/>
        <v>-1217.1899999999987</v>
      </c>
    </row>
    <row r="20" spans="1:4" ht="12.75">
      <c r="A20" s="9" t="s">
        <v>20</v>
      </c>
      <c r="B20" s="13">
        <v>20147.73</v>
      </c>
      <c r="C20" s="13">
        <v>18170.7</v>
      </c>
      <c r="D20" s="8">
        <f t="shared" si="0"/>
        <v>1977.0299999999988</v>
      </c>
    </row>
    <row r="21" spans="1:4" ht="12.75">
      <c r="A21" s="9" t="s">
        <v>21</v>
      </c>
      <c r="B21" s="13">
        <v>20147.73</v>
      </c>
      <c r="C21" s="13">
        <v>23201</v>
      </c>
      <c r="D21" s="13">
        <f t="shared" si="0"/>
        <v>-3053.2700000000004</v>
      </c>
    </row>
    <row r="22" spans="1:4" ht="12.75">
      <c r="A22" s="9" t="s">
        <v>22</v>
      </c>
      <c r="B22" s="13">
        <v>20147.73</v>
      </c>
      <c r="C22" s="13">
        <v>13012.18</v>
      </c>
      <c r="D22" s="13">
        <f t="shared" si="0"/>
        <v>7135.549999999999</v>
      </c>
    </row>
    <row r="23" spans="1:4" ht="12.75">
      <c r="A23" s="9" t="s">
        <v>23</v>
      </c>
      <c r="B23" s="13">
        <v>20147.73</v>
      </c>
      <c r="C23" s="13">
        <v>16778.35</v>
      </c>
      <c r="D23" s="13">
        <f t="shared" si="0"/>
        <v>3369.380000000001</v>
      </c>
    </row>
    <row r="24" spans="1:4" ht="12.75">
      <c r="A24" s="7" t="s">
        <v>24</v>
      </c>
      <c r="B24" s="8">
        <f>SUM(B25:B36)</f>
        <v>189.72</v>
      </c>
      <c r="C24" s="8">
        <f>SUM(C25:C36)</f>
        <v>171.60999999999996</v>
      </c>
      <c r="D24" s="8">
        <f>SUM(D25:D36)</f>
        <v>18.11</v>
      </c>
    </row>
    <row r="25" spans="1:4" ht="12.75">
      <c r="A25" s="9" t="s">
        <v>25</v>
      </c>
      <c r="B25" s="8">
        <v>15.81</v>
      </c>
      <c r="C25" s="8">
        <v>31.98</v>
      </c>
      <c r="D25" s="8">
        <f aca="true" t="shared" si="1" ref="D25:D36">B25-C25</f>
        <v>-16.17</v>
      </c>
    </row>
    <row r="26" spans="1:4" ht="12.75">
      <c r="A26" s="9" t="s">
        <v>13</v>
      </c>
      <c r="B26" s="8">
        <v>15.81</v>
      </c>
      <c r="C26" s="13">
        <v>9.82</v>
      </c>
      <c r="D26" s="8">
        <f t="shared" si="1"/>
        <v>5.99</v>
      </c>
    </row>
    <row r="27" spans="1:4" ht="12.75">
      <c r="A27" s="9" t="s">
        <v>14</v>
      </c>
      <c r="B27" s="8">
        <v>15.81</v>
      </c>
      <c r="C27" s="13">
        <v>30.36</v>
      </c>
      <c r="D27" s="8">
        <f t="shared" si="1"/>
        <v>-14.549999999999999</v>
      </c>
    </row>
    <row r="28" spans="1:4" ht="12.75">
      <c r="A28" s="9" t="s">
        <v>15</v>
      </c>
      <c r="B28" s="8">
        <v>15.81</v>
      </c>
      <c r="C28" s="13">
        <v>9.82</v>
      </c>
      <c r="D28" s="8">
        <f t="shared" si="1"/>
        <v>5.99</v>
      </c>
    </row>
    <row r="29" spans="1:4" ht="12.75">
      <c r="A29" s="9" t="s">
        <v>16</v>
      </c>
      <c r="B29" s="8">
        <v>15.81</v>
      </c>
      <c r="C29" s="13">
        <v>9.82</v>
      </c>
      <c r="D29" s="8">
        <f t="shared" si="1"/>
        <v>5.99</v>
      </c>
    </row>
    <row r="30" spans="1:4" ht="12.75">
      <c r="A30" s="9" t="s">
        <v>17</v>
      </c>
      <c r="B30" s="8">
        <v>15.81</v>
      </c>
      <c r="C30" s="13">
        <v>9.82</v>
      </c>
      <c r="D30" s="8">
        <f t="shared" si="1"/>
        <v>5.99</v>
      </c>
    </row>
    <row r="31" spans="1:4" ht="12.75">
      <c r="A31" s="9" t="s">
        <v>18</v>
      </c>
      <c r="B31" s="8">
        <v>15.81</v>
      </c>
      <c r="C31" s="13">
        <v>9.82</v>
      </c>
      <c r="D31" s="8">
        <f t="shared" si="1"/>
        <v>5.99</v>
      </c>
    </row>
    <row r="32" spans="1:4" ht="12.75">
      <c r="A32" s="9" t="s">
        <v>19</v>
      </c>
      <c r="B32" s="8">
        <v>15.81</v>
      </c>
      <c r="C32" s="13">
        <v>9.82</v>
      </c>
      <c r="D32" s="8">
        <f t="shared" si="1"/>
        <v>5.99</v>
      </c>
    </row>
    <row r="33" spans="1:4" ht="12.75">
      <c r="A33" s="9" t="s">
        <v>20</v>
      </c>
      <c r="B33" s="8">
        <v>15.81</v>
      </c>
      <c r="C33" s="13">
        <v>20.89</v>
      </c>
      <c r="D33" s="8">
        <f t="shared" si="1"/>
        <v>-5.08</v>
      </c>
    </row>
    <row r="34" spans="1:4" ht="12.75">
      <c r="A34" s="9" t="s">
        <v>21</v>
      </c>
      <c r="B34" s="8">
        <v>15.81</v>
      </c>
      <c r="C34" s="13">
        <v>9.82</v>
      </c>
      <c r="D34" s="13">
        <f t="shared" si="1"/>
        <v>5.99</v>
      </c>
    </row>
    <row r="35" spans="1:4" ht="12.75">
      <c r="A35" s="9" t="s">
        <v>22</v>
      </c>
      <c r="B35" s="8">
        <v>15.81</v>
      </c>
      <c r="C35" s="13">
        <v>9.82</v>
      </c>
      <c r="D35" s="13">
        <f t="shared" si="1"/>
        <v>5.99</v>
      </c>
    </row>
    <row r="36" spans="1:4" ht="12.75">
      <c r="A36" s="9" t="s">
        <v>23</v>
      </c>
      <c r="B36" s="8">
        <v>15.81</v>
      </c>
      <c r="C36" s="13">
        <v>9.82</v>
      </c>
      <c r="D36" s="13">
        <f t="shared" si="1"/>
        <v>5.99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42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19</v>
      </c>
      <c r="B41" s="8"/>
      <c r="C41" s="8"/>
      <c r="D41" s="8">
        <f>B41-C41</f>
        <v>0</v>
      </c>
    </row>
    <row r="42" spans="1:4" ht="12.75" hidden="1">
      <c r="A42" s="9" t="s">
        <v>20</v>
      </c>
      <c r="B42" s="13"/>
      <c r="C42" s="13"/>
      <c r="D42" s="8">
        <f>B42-C42</f>
        <v>0</v>
      </c>
    </row>
    <row r="43" spans="1:4" ht="12.75" hidden="1">
      <c r="A43" s="9" t="s">
        <v>21</v>
      </c>
      <c r="B43" s="13"/>
      <c r="C43" s="13"/>
      <c r="D43" s="13">
        <f>B43-C43</f>
        <v>0</v>
      </c>
    </row>
    <row r="44" spans="1:4" ht="12.75" hidden="1">
      <c r="A44" s="9" t="s">
        <v>22</v>
      </c>
      <c r="B44" s="13"/>
      <c r="C44" s="13"/>
      <c r="D44" s="13">
        <f>B44-C44</f>
        <v>0</v>
      </c>
    </row>
    <row r="45" spans="1:4" ht="12.75" hidden="1">
      <c r="A45" s="9" t="s">
        <v>23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227346.64000000004</v>
      </c>
      <c r="C46" s="8">
        <f>C11+C24</f>
        <v>217407.28</v>
      </c>
      <c r="D46" s="8">
        <f>D11+D24</f>
        <v>9939.360000000006</v>
      </c>
    </row>
    <row r="48" spans="1:4" ht="12.75">
      <c r="A48" t="s">
        <v>27</v>
      </c>
      <c r="D48" s="12">
        <f>D46</f>
        <v>9939.360000000006</v>
      </c>
    </row>
    <row r="50" spans="1:4" ht="12.75">
      <c r="A50" s="11" t="s">
        <v>28</v>
      </c>
      <c r="D50" s="12">
        <f>D51+D52</f>
        <v>18148.2</v>
      </c>
    </row>
    <row r="51" spans="1:4" ht="12.75" hidden="1">
      <c r="A51" s="11" t="s">
        <v>29</v>
      </c>
      <c r="D51" s="12">
        <f>(1.33*4*D3)+(1.21*8*D3)</f>
        <v>15225</v>
      </c>
    </row>
    <row r="52" spans="1:4" ht="12.75" hidden="1">
      <c r="A52" s="11" t="s">
        <v>30</v>
      </c>
      <c r="D52" s="12">
        <f>(0.24*12*D3)</f>
        <v>2923.2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773.7*0.22*4+(773.7*2.5)</f>
        <v>2615.1059999999998</v>
      </c>
    </row>
    <row r="55" spans="1:4" ht="12.75">
      <c r="A55" s="11" t="s">
        <v>80</v>
      </c>
      <c r="D55" s="12">
        <f>(2.66*4*D3)+(2.42*8*D3)</f>
        <v>30450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(0.72*3*D3)</f>
        <v>2192.4</v>
      </c>
    </row>
    <row r="58" spans="1:4" ht="12.75">
      <c r="A58" s="11" t="s">
        <v>33</v>
      </c>
      <c r="D58" s="12">
        <f>(1.45*4*D3)+(1.32*8*D3)</f>
        <v>16605.4</v>
      </c>
    </row>
    <row r="59" spans="1:4" ht="12.75">
      <c r="A59" s="11" t="s">
        <v>34</v>
      </c>
      <c r="D59" s="12">
        <f>(4.94*4*D3)+(4.51*8*D3)</f>
        <v>56677.6</v>
      </c>
    </row>
    <row r="60" spans="1:4" ht="12.75">
      <c r="A60" s="11" t="s">
        <v>35</v>
      </c>
      <c r="D60" s="12">
        <f>(0.29*4*D3)+(0.26*8*D3)</f>
        <v>3288.6000000000004</v>
      </c>
    </row>
    <row r="61" spans="1:4" ht="12.75">
      <c r="A61" s="11" t="s">
        <v>75</v>
      </c>
      <c r="D61" s="12">
        <f>(3.87*4*D3)+(3.52*8*D3)</f>
        <v>44294.600000000006</v>
      </c>
    </row>
    <row r="62" spans="1:4" ht="12.75">
      <c r="A62" s="11" t="s">
        <v>36</v>
      </c>
      <c r="D62" s="12">
        <f>2.25*12*D4</f>
        <v>648</v>
      </c>
    </row>
    <row r="63" spans="1:4" ht="12.75">
      <c r="A63" s="11" t="s">
        <v>37</v>
      </c>
      <c r="D63" s="12">
        <v>0</v>
      </c>
    </row>
    <row r="64" spans="1:4" ht="12.75">
      <c r="A64" s="11" t="s">
        <v>38</v>
      </c>
      <c r="D64" s="12">
        <f>(0.91*4*D3)+(0.83*8*D3)</f>
        <v>10434.199999999999</v>
      </c>
    </row>
    <row r="65" spans="1:4" ht="12.75" hidden="1">
      <c r="A65" s="14" t="s">
        <v>62</v>
      </c>
      <c r="D65" s="12">
        <v>0</v>
      </c>
    </row>
    <row r="66" spans="1:4" ht="12.75">
      <c r="A66" s="11"/>
      <c r="D66" s="12"/>
    </row>
    <row r="67" spans="1:4" ht="12.75">
      <c r="A67" s="11" t="s">
        <v>39</v>
      </c>
      <c r="D67" s="12">
        <f>D50+D53+D54+D55+D56+D57+D58+D59+D60+D61+D62+D63+D64+D65</f>
        <v>185354.10600000003</v>
      </c>
    </row>
    <row r="68" spans="1:4" ht="12.75">
      <c r="A68" s="11"/>
      <c r="D68" s="12"/>
    </row>
    <row r="69" spans="1:4" ht="12.75">
      <c r="A69" t="s">
        <v>69</v>
      </c>
      <c r="D69" s="12">
        <f>C46-D67</f>
        <v>32053.17399999997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75"/>
  <dimension ref="A1:H69"/>
  <sheetViews>
    <sheetView zoomScalePageLayoutView="0" workbookViewId="0" topLeftCell="A1">
      <selection activeCell="H67" sqref="H67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4" width="12.8515625" style="0" customWidth="1"/>
    <col min="5" max="5" width="4.28125" style="0" customWidth="1"/>
    <col min="6" max="6" width="3.57421875" style="0" customWidth="1"/>
    <col min="7" max="7" width="9.57421875" style="0" bestFit="1" customWidth="1"/>
  </cols>
  <sheetData>
    <row r="1" spans="1:7" ht="12.75">
      <c r="A1" s="1" t="s">
        <v>0</v>
      </c>
      <c r="B1" s="2" t="s">
        <v>1</v>
      </c>
      <c r="C1" s="1" t="s">
        <v>63</v>
      </c>
      <c r="D1" s="1"/>
      <c r="E1" s="1" t="s">
        <v>2</v>
      </c>
      <c r="F1" s="3">
        <v>6</v>
      </c>
      <c r="G1">
        <v>2016</v>
      </c>
    </row>
    <row r="3" spans="1:5" ht="12.75">
      <c r="A3" t="s">
        <v>3</v>
      </c>
      <c r="D3" s="4">
        <v>1016.3</v>
      </c>
      <c r="E3" s="5" t="s">
        <v>40</v>
      </c>
    </row>
    <row r="4" spans="1:5" ht="12.75">
      <c r="A4" t="s">
        <v>4</v>
      </c>
      <c r="D4" s="4">
        <v>24</v>
      </c>
      <c r="E4" s="5"/>
    </row>
    <row r="5" spans="1:5" ht="12.75">
      <c r="A5" t="s">
        <v>5</v>
      </c>
      <c r="D5" s="4">
        <v>59</v>
      </c>
      <c r="E5" s="5" t="s">
        <v>6</v>
      </c>
    </row>
    <row r="6" spans="1:5" ht="12.75">
      <c r="A6" t="s">
        <v>7</v>
      </c>
      <c r="D6" s="4">
        <v>95</v>
      </c>
      <c r="E6" s="5" t="s">
        <v>40</v>
      </c>
    </row>
    <row r="7" spans="1:5" ht="12.75">
      <c r="A7" t="s">
        <v>8</v>
      </c>
      <c r="D7" s="4">
        <v>1718.3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227447.84</v>
      </c>
      <c r="C11" s="8">
        <f>SUM(C12:C23)</f>
        <v>228997.41</v>
      </c>
      <c r="D11" s="8">
        <f>SUM(D12:D23)</f>
        <v>-1549.5699999999906</v>
      </c>
    </row>
    <row r="12" spans="1:4" ht="12.75">
      <c r="A12" s="9" t="s">
        <v>25</v>
      </c>
      <c r="B12" s="8">
        <v>18344.2</v>
      </c>
      <c r="C12" s="8">
        <v>13217.13</v>
      </c>
      <c r="D12" s="8">
        <f aca="true" t="shared" si="0" ref="D12:D23">B12-C12</f>
        <v>5127.0700000000015</v>
      </c>
    </row>
    <row r="13" spans="1:4" ht="12.75">
      <c r="A13" s="9" t="s">
        <v>13</v>
      </c>
      <c r="B13" s="8">
        <v>18344.2</v>
      </c>
      <c r="C13" s="13">
        <v>12194.6</v>
      </c>
      <c r="D13" s="8">
        <f t="shared" si="0"/>
        <v>6149.6</v>
      </c>
    </row>
    <row r="14" spans="1:4" ht="12.75">
      <c r="A14" s="9" t="s">
        <v>14</v>
      </c>
      <c r="B14" s="8">
        <v>18344.2</v>
      </c>
      <c r="C14" s="13">
        <v>20659.57</v>
      </c>
      <c r="D14" s="8">
        <f t="shared" si="0"/>
        <v>-2315.369999999999</v>
      </c>
    </row>
    <row r="15" spans="1:4" ht="12.75">
      <c r="A15" s="9" t="s">
        <v>15</v>
      </c>
      <c r="B15" s="8">
        <v>18344.2</v>
      </c>
      <c r="C15" s="13">
        <v>14936.4</v>
      </c>
      <c r="D15" s="8">
        <f t="shared" si="0"/>
        <v>3407.800000000001</v>
      </c>
    </row>
    <row r="16" spans="1:4" ht="12.75">
      <c r="A16" s="9" t="s">
        <v>16</v>
      </c>
      <c r="B16" s="8">
        <v>18344.2</v>
      </c>
      <c r="C16" s="13">
        <v>14960</v>
      </c>
      <c r="D16" s="8">
        <f t="shared" si="0"/>
        <v>3384.2000000000007</v>
      </c>
    </row>
    <row r="17" spans="1:4" ht="12.75">
      <c r="A17" s="9" t="s">
        <v>17</v>
      </c>
      <c r="B17" s="8">
        <v>18344.2</v>
      </c>
      <c r="C17" s="13">
        <v>27101.02</v>
      </c>
      <c r="D17" s="8">
        <f t="shared" si="0"/>
        <v>-8756.82</v>
      </c>
    </row>
    <row r="18" spans="1:4" ht="12.75">
      <c r="A18" s="9" t="s">
        <v>18</v>
      </c>
      <c r="B18" s="8">
        <v>18344.2</v>
      </c>
      <c r="C18" s="13">
        <v>19022.41</v>
      </c>
      <c r="D18" s="8">
        <f t="shared" si="0"/>
        <v>-678.2099999999991</v>
      </c>
    </row>
    <row r="19" spans="1:4" ht="12.75">
      <c r="A19" s="9" t="s">
        <v>19</v>
      </c>
      <c r="B19" s="8">
        <v>18344.2</v>
      </c>
      <c r="C19" s="13">
        <v>16858</v>
      </c>
      <c r="D19" s="8">
        <f t="shared" si="0"/>
        <v>1486.2000000000007</v>
      </c>
    </row>
    <row r="20" spans="1:4" ht="12.75">
      <c r="A20" s="9" t="s">
        <v>20</v>
      </c>
      <c r="B20" s="13">
        <v>20173.56</v>
      </c>
      <c r="C20" s="13">
        <v>23093.73</v>
      </c>
      <c r="D20" s="8">
        <f t="shared" si="0"/>
        <v>-2920.1699999999983</v>
      </c>
    </row>
    <row r="21" spans="1:4" ht="12.75">
      <c r="A21" s="9" t="s">
        <v>21</v>
      </c>
      <c r="B21" s="13">
        <v>20173.56</v>
      </c>
      <c r="C21" s="13">
        <v>26171.75</v>
      </c>
      <c r="D21" s="13">
        <f t="shared" si="0"/>
        <v>-5998.189999999999</v>
      </c>
    </row>
    <row r="22" spans="1:4" ht="12.75">
      <c r="A22" s="9" t="s">
        <v>22</v>
      </c>
      <c r="B22" s="13">
        <v>20173.56</v>
      </c>
      <c r="C22" s="13">
        <v>17228.81</v>
      </c>
      <c r="D22" s="13">
        <f t="shared" si="0"/>
        <v>2944.75</v>
      </c>
    </row>
    <row r="23" spans="1:4" ht="12.75">
      <c r="A23" s="9" t="s">
        <v>23</v>
      </c>
      <c r="B23" s="13">
        <v>20173.56</v>
      </c>
      <c r="C23" s="13">
        <v>23553.99</v>
      </c>
      <c r="D23" s="13">
        <f t="shared" si="0"/>
        <v>-3380.4300000000003</v>
      </c>
    </row>
    <row r="24" spans="1:4" ht="12.75">
      <c r="A24" s="7" t="s">
        <v>24</v>
      </c>
      <c r="B24" s="8">
        <f>SUM(B25:B36)</f>
        <v>180.24</v>
      </c>
      <c r="C24" s="8">
        <f>SUM(C25:C36)</f>
        <v>127.51</v>
      </c>
      <c r="D24" s="8">
        <f>SUM(D25:D36)</f>
        <v>52.72999999999999</v>
      </c>
    </row>
    <row r="25" spans="1:4" ht="12.75" customHeight="1">
      <c r="A25" s="9" t="s">
        <v>25</v>
      </c>
      <c r="B25" s="8">
        <v>15.02</v>
      </c>
      <c r="C25" s="8">
        <v>4.98</v>
      </c>
      <c r="D25" s="8">
        <f aca="true" t="shared" si="1" ref="D25:D36">B25-C25</f>
        <v>10.04</v>
      </c>
    </row>
    <row r="26" spans="1:4" ht="12.75" customHeight="1">
      <c r="A26" s="9" t="s">
        <v>13</v>
      </c>
      <c r="B26" s="8">
        <v>15.02</v>
      </c>
      <c r="C26" s="8">
        <v>4.98</v>
      </c>
      <c r="D26" s="8">
        <f t="shared" si="1"/>
        <v>10.04</v>
      </c>
    </row>
    <row r="27" spans="1:4" ht="12.75" customHeight="1">
      <c r="A27" s="9" t="s">
        <v>14</v>
      </c>
      <c r="B27" s="8">
        <v>15.02</v>
      </c>
      <c r="C27" s="13">
        <v>12.68</v>
      </c>
      <c r="D27" s="8">
        <f t="shared" si="1"/>
        <v>2.34</v>
      </c>
    </row>
    <row r="28" spans="1:4" ht="12.75" customHeight="1">
      <c r="A28" s="9" t="s">
        <v>15</v>
      </c>
      <c r="B28" s="8">
        <v>15.02</v>
      </c>
      <c r="C28" s="13">
        <v>4.98</v>
      </c>
      <c r="D28" s="8">
        <f t="shared" si="1"/>
        <v>10.04</v>
      </c>
    </row>
    <row r="29" spans="1:4" ht="12.75" customHeight="1">
      <c r="A29" s="9" t="s">
        <v>16</v>
      </c>
      <c r="B29" s="8">
        <v>15.02</v>
      </c>
      <c r="C29" s="13">
        <v>12.69</v>
      </c>
      <c r="D29" s="8">
        <f t="shared" si="1"/>
        <v>2.33</v>
      </c>
    </row>
    <row r="30" spans="1:4" ht="12.75" customHeight="1">
      <c r="A30" s="9" t="s">
        <v>17</v>
      </c>
      <c r="B30" s="8">
        <v>15.02</v>
      </c>
      <c r="C30" s="13">
        <v>12.68</v>
      </c>
      <c r="D30" s="8">
        <f t="shared" si="1"/>
        <v>2.34</v>
      </c>
    </row>
    <row r="31" spans="1:4" ht="12.75" customHeight="1">
      <c r="A31" s="9" t="s">
        <v>18</v>
      </c>
      <c r="B31" s="8">
        <v>15.02</v>
      </c>
      <c r="C31" s="13">
        <v>8.84</v>
      </c>
      <c r="D31" s="8">
        <f t="shared" si="1"/>
        <v>6.18</v>
      </c>
    </row>
    <row r="32" spans="1:4" ht="12.75" customHeight="1">
      <c r="A32" s="9" t="s">
        <v>19</v>
      </c>
      <c r="B32" s="8">
        <v>15.02</v>
      </c>
      <c r="C32" s="13">
        <v>8.84</v>
      </c>
      <c r="D32" s="8">
        <f t="shared" si="1"/>
        <v>6.18</v>
      </c>
    </row>
    <row r="33" spans="1:4" ht="12.75" customHeight="1">
      <c r="A33" s="9" t="s">
        <v>20</v>
      </c>
      <c r="B33" s="8">
        <v>15.02</v>
      </c>
      <c r="C33" s="13">
        <v>30.33</v>
      </c>
      <c r="D33" s="8">
        <f t="shared" si="1"/>
        <v>-15.309999999999999</v>
      </c>
    </row>
    <row r="34" spans="1:4" ht="12.75" customHeight="1">
      <c r="A34" s="9" t="s">
        <v>21</v>
      </c>
      <c r="B34" s="8">
        <v>15.02</v>
      </c>
      <c r="C34" s="13">
        <v>12.7</v>
      </c>
      <c r="D34" s="13">
        <f t="shared" si="1"/>
        <v>2.3200000000000003</v>
      </c>
    </row>
    <row r="35" spans="1:4" ht="12.75" customHeight="1">
      <c r="A35" s="9" t="s">
        <v>22</v>
      </c>
      <c r="B35" s="8">
        <v>15.02</v>
      </c>
      <c r="C35" s="13">
        <v>4.98</v>
      </c>
      <c r="D35" s="13">
        <f t="shared" si="1"/>
        <v>10.04</v>
      </c>
    </row>
    <row r="36" spans="1:4" ht="12.75" customHeight="1">
      <c r="A36" s="9" t="s">
        <v>23</v>
      </c>
      <c r="B36" s="8">
        <v>15.02</v>
      </c>
      <c r="C36" s="13">
        <v>8.83</v>
      </c>
      <c r="D36" s="13">
        <f t="shared" si="1"/>
        <v>6.1899999999999995</v>
      </c>
    </row>
    <row r="37" spans="1:4" ht="12.75" customHeight="1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customHeight="1" hidden="1">
      <c r="A38" s="9" t="s">
        <v>22</v>
      </c>
      <c r="B38" s="13"/>
      <c r="C38" s="13"/>
      <c r="D38" s="13">
        <f>B38-C38</f>
        <v>0</v>
      </c>
    </row>
    <row r="39" spans="1:4" ht="12.75" customHeight="1" hidden="1">
      <c r="A39" s="9" t="s">
        <v>23</v>
      </c>
      <c r="B39" s="13"/>
      <c r="C39" s="13"/>
      <c r="D39" s="13">
        <f>B39-C39</f>
        <v>0</v>
      </c>
    </row>
    <row r="40" spans="1:4" ht="12.75" customHeight="1" hidden="1">
      <c r="A40" s="7" t="s">
        <v>42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customHeight="1" hidden="1">
      <c r="A41" s="9" t="s">
        <v>19</v>
      </c>
      <c r="B41" s="8"/>
      <c r="C41" s="8"/>
      <c r="D41" s="8">
        <f>B41-C41</f>
        <v>0</v>
      </c>
    </row>
    <row r="42" spans="1:4" ht="12.75" customHeight="1" hidden="1">
      <c r="A42" s="9" t="s">
        <v>20</v>
      </c>
      <c r="B42" s="13"/>
      <c r="C42" s="13"/>
      <c r="D42" s="8">
        <f>B42-C42</f>
        <v>0</v>
      </c>
    </row>
    <row r="43" spans="1:4" ht="12.75" customHeight="1" hidden="1">
      <c r="A43" s="9" t="s">
        <v>21</v>
      </c>
      <c r="B43" s="13"/>
      <c r="C43" s="13"/>
      <c r="D43" s="13">
        <f>B43-C43</f>
        <v>0</v>
      </c>
    </row>
    <row r="44" spans="1:4" ht="12.75" customHeight="1" hidden="1">
      <c r="A44" s="9" t="s">
        <v>22</v>
      </c>
      <c r="B44" s="13"/>
      <c r="C44" s="13"/>
      <c r="D44" s="13">
        <f>B44-C44</f>
        <v>0</v>
      </c>
    </row>
    <row r="45" spans="1:4" ht="12.75" customHeight="1" hidden="1">
      <c r="A45" s="9" t="s">
        <v>23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B11+B24+B37+B40</f>
        <v>227628.08</v>
      </c>
      <c r="C46" s="8">
        <f>C11+C24+C37+C40</f>
        <v>229124.92</v>
      </c>
      <c r="D46" s="8">
        <f>D11+D24+D37+D40</f>
        <v>-1496.8399999999906</v>
      </c>
    </row>
    <row r="48" spans="1:4" ht="12.75">
      <c r="A48" t="s">
        <v>27</v>
      </c>
      <c r="D48" s="12">
        <f>D46</f>
        <v>-1496.8399999999906</v>
      </c>
    </row>
    <row r="50" spans="1:4" ht="12.75">
      <c r="A50" s="11" t="s">
        <v>28</v>
      </c>
      <c r="D50" s="12">
        <f>D51+D52</f>
        <v>18171.444</v>
      </c>
    </row>
    <row r="51" spans="1:4" ht="12.75" hidden="1">
      <c r="A51" s="11" t="s">
        <v>29</v>
      </c>
      <c r="D51" s="12">
        <f>(1.33*4*D3)+(1.21*8*D3)</f>
        <v>15244.5</v>
      </c>
    </row>
    <row r="52" spans="1:4" ht="12.75" hidden="1">
      <c r="A52" s="11" t="s">
        <v>30</v>
      </c>
      <c r="D52" s="12">
        <f>(0.24*12*D3)</f>
        <v>2926.944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773.7*0.22*4+(773.7*2.5)</f>
        <v>2615.1059999999998</v>
      </c>
    </row>
    <row r="55" spans="1:4" ht="12.75">
      <c r="A55" s="11" t="s">
        <v>80</v>
      </c>
      <c r="D55" s="12">
        <f>(2.66*4*D3)+(2.42*8*D3)</f>
        <v>30489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(0.72*3*D3)</f>
        <v>2195.208</v>
      </c>
    </row>
    <row r="58" spans="1:4" ht="12.75">
      <c r="A58" s="11" t="s">
        <v>33</v>
      </c>
      <c r="D58" s="12">
        <f>(1.45*4*D3)+(1.32*8*D3)</f>
        <v>16626.668</v>
      </c>
    </row>
    <row r="59" spans="1:4" ht="12.75">
      <c r="A59" s="11" t="s">
        <v>34</v>
      </c>
      <c r="D59" s="12">
        <f>(4.94*4*D3)+(4.51*8*D3)</f>
        <v>56750.191999999995</v>
      </c>
    </row>
    <row r="60" spans="1:4" ht="12.75">
      <c r="A60" s="11" t="s">
        <v>35</v>
      </c>
      <c r="D60" s="12">
        <f>(0.29*4*D3)+(0.26*8*D3)</f>
        <v>3292.812</v>
      </c>
    </row>
    <row r="61" spans="1:7" ht="12.75">
      <c r="A61" s="11" t="s">
        <v>75</v>
      </c>
      <c r="D61" s="12">
        <f>(3.87*4*D3)+(3.52*8*D3)</f>
        <v>44351.331999999995</v>
      </c>
      <c r="G61" s="18"/>
    </row>
    <row r="62" spans="1:4" ht="12.75">
      <c r="A62" s="11" t="s">
        <v>36</v>
      </c>
      <c r="D62" s="12">
        <f>2.25*12*D4</f>
        <v>648</v>
      </c>
    </row>
    <row r="63" spans="1:4" ht="12.75">
      <c r="A63" s="11" t="s">
        <v>37</v>
      </c>
      <c r="D63" s="12">
        <v>67832</v>
      </c>
    </row>
    <row r="64" spans="1:8" ht="12.75">
      <c r="A64" s="11" t="s">
        <v>38</v>
      </c>
      <c r="D64" s="12">
        <f>(0.91*4*D3)+(0.83*8*D3)</f>
        <v>10447.563999999998</v>
      </c>
      <c r="H64" s="22"/>
    </row>
    <row r="65" spans="1:4" ht="12.75" hidden="1">
      <c r="A65" s="14" t="s">
        <v>62</v>
      </c>
      <c r="D65" s="12">
        <v>0</v>
      </c>
    </row>
    <row r="66" spans="1:8" ht="12.75">
      <c r="A66" s="11"/>
      <c r="D66" s="12"/>
      <c r="H66" s="22"/>
    </row>
    <row r="67" spans="1:4" ht="12.75">
      <c r="A67" s="11" t="s">
        <v>39</v>
      </c>
      <c r="D67" s="12">
        <f>D50+D53+D54+D55+D56+D57+D58+D59+D60+D61+D62+D63+D64+D65</f>
        <v>253419.326</v>
      </c>
    </row>
    <row r="68" spans="1:4" ht="12.75">
      <c r="A68" s="11"/>
      <c r="D68" s="12"/>
    </row>
    <row r="69" spans="1:4" ht="12.75">
      <c r="A69" t="s">
        <v>69</v>
      </c>
      <c r="D69" s="12">
        <f>C46-D67</f>
        <v>-24294.405999999988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76"/>
  <dimension ref="A1:H72"/>
  <sheetViews>
    <sheetView zoomScalePageLayoutView="0" workbookViewId="0" topLeftCell="A1">
      <selection activeCell="A63" sqref="A63:C71"/>
    </sheetView>
  </sheetViews>
  <sheetFormatPr defaultColWidth="9.140625" defaultRowHeight="12.75"/>
  <cols>
    <col min="1" max="1" width="14.00390625" style="0" customWidth="1"/>
    <col min="2" max="3" width="14.28125" style="0" customWidth="1"/>
    <col min="4" max="4" width="16.00390625" style="0" customWidth="1"/>
    <col min="7" max="7" width="10.7109375" style="0" bestFit="1" customWidth="1"/>
  </cols>
  <sheetData>
    <row r="1" spans="1:7" ht="12.75">
      <c r="A1" s="1" t="s">
        <v>0</v>
      </c>
      <c r="B1" s="2" t="s">
        <v>1</v>
      </c>
      <c r="C1" s="1" t="s">
        <v>63</v>
      </c>
      <c r="D1" s="1"/>
      <c r="E1" s="1" t="s">
        <v>2</v>
      </c>
      <c r="F1" s="3">
        <v>7</v>
      </c>
      <c r="G1">
        <v>2016</v>
      </c>
    </row>
    <row r="3" spans="1:5" ht="12.75">
      <c r="A3" t="s">
        <v>3</v>
      </c>
      <c r="D3" s="4">
        <v>1016.4</v>
      </c>
      <c r="E3" s="5" t="s">
        <v>40</v>
      </c>
    </row>
    <row r="4" spans="1:5" ht="12.75">
      <c r="A4" t="s">
        <v>4</v>
      </c>
      <c r="D4" s="4">
        <v>24</v>
      </c>
      <c r="E4" s="5"/>
    </row>
    <row r="5" spans="1:5" ht="12.75">
      <c r="A5" t="s">
        <v>5</v>
      </c>
      <c r="D5" s="4">
        <v>65</v>
      </c>
      <c r="E5" s="5" t="s">
        <v>6</v>
      </c>
    </row>
    <row r="6" spans="1:5" ht="12.75">
      <c r="A6" t="s">
        <v>7</v>
      </c>
      <c r="D6" s="4">
        <v>82.2</v>
      </c>
      <c r="E6" s="5" t="s">
        <v>40</v>
      </c>
    </row>
    <row r="7" spans="1:5" ht="12.75">
      <c r="A7" t="s">
        <v>8</v>
      </c>
      <c r="D7" s="4">
        <v>1723.5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227402.88</v>
      </c>
      <c r="C11" s="8">
        <f>SUM(C12:C23)</f>
        <v>208272.08000000002</v>
      </c>
      <c r="D11" s="8">
        <f>SUM(D12:D23)</f>
        <v>19130.800000000017</v>
      </c>
    </row>
    <row r="12" spans="1:4" ht="12.75">
      <c r="A12" s="9" t="s">
        <v>25</v>
      </c>
      <c r="B12" s="8">
        <v>18340.58</v>
      </c>
      <c r="C12" s="8">
        <v>15041.07</v>
      </c>
      <c r="D12" s="8">
        <f aca="true" t="shared" si="0" ref="D12:D23">B12-C12</f>
        <v>3299.510000000002</v>
      </c>
    </row>
    <row r="13" spans="1:4" ht="12.75">
      <c r="A13" s="9" t="s">
        <v>13</v>
      </c>
      <c r="B13" s="8">
        <v>18340.58</v>
      </c>
      <c r="C13" s="13">
        <v>17669.15</v>
      </c>
      <c r="D13" s="8">
        <f t="shared" si="0"/>
        <v>671.4300000000003</v>
      </c>
    </row>
    <row r="14" spans="1:4" ht="12.75">
      <c r="A14" s="9" t="s">
        <v>14</v>
      </c>
      <c r="B14" s="8">
        <v>18340.58</v>
      </c>
      <c r="C14" s="13">
        <v>15550.08</v>
      </c>
      <c r="D14" s="8">
        <f t="shared" si="0"/>
        <v>2790.500000000002</v>
      </c>
    </row>
    <row r="15" spans="1:4" ht="12.75">
      <c r="A15" s="9" t="s">
        <v>15</v>
      </c>
      <c r="B15" s="8">
        <v>18340.58</v>
      </c>
      <c r="C15" s="13">
        <v>14046.54</v>
      </c>
      <c r="D15" s="8">
        <f t="shared" si="0"/>
        <v>4294.040000000001</v>
      </c>
    </row>
    <row r="16" spans="1:4" ht="12.75">
      <c r="A16" s="9" t="s">
        <v>16</v>
      </c>
      <c r="B16" s="8">
        <v>18340.58</v>
      </c>
      <c r="C16" s="13">
        <v>16362.71</v>
      </c>
      <c r="D16" s="8">
        <f t="shared" si="0"/>
        <v>1977.8700000000026</v>
      </c>
    </row>
    <row r="17" spans="1:4" ht="12.75">
      <c r="A17" s="9" t="s">
        <v>17</v>
      </c>
      <c r="B17" s="8">
        <v>18340.58</v>
      </c>
      <c r="C17" s="13">
        <v>21884.64</v>
      </c>
      <c r="D17" s="8">
        <f t="shared" si="0"/>
        <v>-3544.0599999999977</v>
      </c>
    </row>
    <row r="18" spans="1:4" ht="12.75">
      <c r="A18" s="9" t="s">
        <v>18</v>
      </c>
      <c r="B18" s="8">
        <v>18340.58</v>
      </c>
      <c r="C18" s="13">
        <v>16667.79</v>
      </c>
      <c r="D18" s="8">
        <f t="shared" si="0"/>
        <v>1672.7900000000009</v>
      </c>
    </row>
    <row r="19" spans="1:4" ht="12.75">
      <c r="A19" s="9" t="s">
        <v>19</v>
      </c>
      <c r="B19" s="8">
        <v>18340.58</v>
      </c>
      <c r="C19" s="13">
        <v>15549.61</v>
      </c>
      <c r="D19" s="8">
        <f t="shared" si="0"/>
        <v>2790.970000000001</v>
      </c>
    </row>
    <row r="20" spans="1:4" ht="12.75">
      <c r="A20" s="9" t="s">
        <v>20</v>
      </c>
      <c r="B20" s="13">
        <v>20169.56</v>
      </c>
      <c r="C20" s="13">
        <v>18530.25</v>
      </c>
      <c r="D20" s="8">
        <f t="shared" si="0"/>
        <v>1639.3100000000013</v>
      </c>
    </row>
    <row r="21" spans="1:4" ht="12.75">
      <c r="A21" s="9" t="s">
        <v>21</v>
      </c>
      <c r="B21" s="13">
        <v>20169.56</v>
      </c>
      <c r="C21" s="13">
        <v>17101.02</v>
      </c>
      <c r="D21" s="13">
        <f t="shared" si="0"/>
        <v>3068.540000000001</v>
      </c>
    </row>
    <row r="22" spans="1:4" ht="12.75">
      <c r="A22" s="9" t="s">
        <v>22</v>
      </c>
      <c r="B22" s="13">
        <v>20169.56</v>
      </c>
      <c r="C22" s="13">
        <v>20769.88</v>
      </c>
      <c r="D22" s="13">
        <f t="shared" si="0"/>
        <v>-600.3199999999997</v>
      </c>
    </row>
    <row r="23" spans="1:4" ht="12.75">
      <c r="A23" s="9" t="s">
        <v>23</v>
      </c>
      <c r="B23" s="13">
        <v>20169.56</v>
      </c>
      <c r="C23" s="13">
        <v>19099.34</v>
      </c>
      <c r="D23" s="13">
        <f t="shared" si="0"/>
        <v>1070.2200000000012</v>
      </c>
    </row>
    <row r="24" spans="1:4" ht="12.75">
      <c r="A24" s="7" t="s">
        <v>24</v>
      </c>
      <c r="B24" s="8">
        <f>SUM(B25:B36)</f>
        <v>83.16</v>
      </c>
      <c r="C24" s="8">
        <f>SUM(C25:C36)</f>
        <v>83.16</v>
      </c>
      <c r="D24" s="8">
        <f>SUM(D25:D36)</f>
        <v>0</v>
      </c>
    </row>
    <row r="25" spans="1:4" ht="12.75">
      <c r="A25" s="9" t="s">
        <v>25</v>
      </c>
      <c r="B25" s="8">
        <v>6.93</v>
      </c>
      <c r="C25" s="8">
        <v>6.93</v>
      </c>
      <c r="D25" s="8">
        <f aca="true" t="shared" si="1" ref="D25:D36">B25-C25</f>
        <v>0</v>
      </c>
    </row>
    <row r="26" spans="1:4" ht="12.75">
      <c r="A26" s="9" t="s">
        <v>13</v>
      </c>
      <c r="B26" s="8">
        <v>6.93</v>
      </c>
      <c r="C26" s="8">
        <v>6.93</v>
      </c>
      <c r="D26" s="8">
        <f t="shared" si="1"/>
        <v>0</v>
      </c>
    </row>
    <row r="27" spans="1:4" ht="12.75">
      <c r="A27" s="9" t="s">
        <v>14</v>
      </c>
      <c r="B27" s="8">
        <v>6.93</v>
      </c>
      <c r="C27" s="8">
        <v>6.93</v>
      </c>
      <c r="D27" s="8">
        <f t="shared" si="1"/>
        <v>0</v>
      </c>
    </row>
    <row r="28" spans="1:4" ht="12.75">
      <c r="A28" s="9" t="s">
        <v>15</v>
      </c>
      <c r="B28" s="8">
        <v>6.93</v>
      </c>
      <c r="C28" s="8">
        <v>6.93</v>
      </c>
      <c r="D28" s="8">
        <f t="shared" si="1"/>
        <v>0</v>
      </c>
    </row>
    <row r="29" spans="1:4" ht="12.75">
      <c r="A29" s="9" t="s">
        <v>16</v>
      </c>
      <c r="B29" s="8">
        <v>6.93</v>
      </c>
      <c r="C29" s="8">
        <v>6.93</v>
      </c>
      <c r="D29" s="8">
        <f t="shared" si="1"/>
        <v>0</v>
      </c>
    </row>
    <row r="30" spans="1:4" ht="12.75">
      <c r="A30" s="9" t="s">
        <v>17</v>
      </c>
      <c r="B30" s="8">
        <v>6.93</v>
      </c>
      <c r="C30" s="8">
        <v>6.93</v>
      </c>
      <c r="D30" s="8">
        <f t="shared" si="1"/>
        <v>0</v>
      </c>
    </row>
    <row r="31" spans="1:4" ht="12.75">
      <c r="A31" s="9" t="s">
        <v>18</v>
      </c>
      <c r="B31" s="8">
        <v>6.93</v>
      </c>
      <c r="C31" s="8">
        <v>6.93</v>
      </c>
      <c r="D31" s="8">
        <f t="shared" si="1"/>
        <v>0</v>
      </c>
    </row>
    <row r="32" spans="1:4" ht="12.75">
      <c r="A32" s="9" t="s">
        <v>19</v>
      </c>
      <c r="B32" s="8">
        <v>6.93</v>
      </c>
      <c r="C32" s="8">
        <v>6.93</v>
      </c>
      <c r="D32" s="8">
        <f t="shared" si="1"/>
        <v>0</v>
      </c>
    </row>
    <row r="33" spans="1:4" ht="12.75">
      <c r="A33" s="9" t="s">
        <v>20</v>
      </c>
      <c r="B33" s="8">
        <v>6.93</v>
      </c>
      <c r="C33" s="8">
        <v>6.93</v>
      </c>
      <c r="D33" s="8">
        <f t="shared" si="1"/>
        <v>0</v>
      </c>
    </row>
    <row r="34" spans="1:4" ht="12.75">
      <c r="A34" s="9" t="s">
        <v>21</v>
      </c>
      <c r="B34" s="8">
        <v>6.93</v>
      </c>
      <c r="C34" s="8">
        <v>6.93</v>
      </c>
      <c r="D34" s="13">
        <f t="shared" si="1"/>
        <v>0</v>
      </c>
    </row>
    <row r="35" spans="1:4" ht="12.75">
      <c r="A35" s="9" t="s">
        <v>22</v>
      </c>
      <c r="B35" s="8">
        <v>6.93</v>
      </c>
      <c r="C35" s="8">
        <v>6.93</v>
      </c>
      <c r="D35" s="13">
        <f t="shared" si="1"/>
        <v>0</v>
      </c>
    </row>
    <row r="36" spans="1:4" ht="12.75">
      <c r="A36" s="9" t="s">
        <v>23</v>
      </c>
      <c r="B36" s="8">
        <v>6.93</v>
      </c>
      <c r="C36" s="8">
        <v>6.93</v>
      </c>
      <c r="D36" s="13">
        <f t="shared" si="1"/>
        <v>0</v>
      </c>
    </row>
    <row r="37" spans="1:4" ht="12.75">
      <c r="A37" s="9" t="s">
        <v>26</v>
      </c>
      <c r="B37" s="8">
        <f>B11+B24</f>
        <v>227486.04</v>
      </c>
      <c r="C37" s="8">
        <f>C11+C24</f>
        <v>208355.24000000002</v>
      </c>
      <c r="D37" s="8">
        <f>D11+D24</f>
        <v>19130.800000000017</v>
      </c>
    </row>
    <row r="39" spans="1:4" ht="12.75">
      <c r="A39" t="s">
        <v>27</v>
      </c>
      <c r="D39" s="12">
        <f>D37</f>
        <v>19130.800000000017</v>
      </c>
    </row>
    <row r="41" spans="1:4" ht="12.75">
      <c r="A41" s="11" t="s">
        <v>28</v>
      </c>
      <c r="D41" s="12">
        <f>D42+D43</f>
        <v>12005.168400000006</v>
      </c>
    </row>
    <row r="42" spans="1:4" ht="12.75" hidden="1">
      <c r="A42" s="11" t="s">
        <v>29</v>
      </c>
      <c r="D42" s="12">
        <f>(1.33*4*D13)+(1.21*8*D13)</f>
        <v>10071.450000000004</v>
      </c>
    </row>
    <row r="43" spans="1:4" ht="12.75" hidden="1">
      <c r="A43" s="11" t="s">
        <v>30</v>
      </c>
      <c r="D43" s="12">
        <f>(0.24*12*D13)</f>
        <v>1933.7184000000007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773.7*0.22*4+(773.7*2.5)</f>
        <v>2615.1059999999998</v>
      </c>
    </row>
    <row r="46" spans="1:4" ht="12.75">
      <c r="A46" s="11" t="s">
        <v>80</v>
      </c>
      <c r="D46" s="12">
        <f>(2.66*4*D13)+(2.42*8*D13)</f>
        <v>20142.90000000001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(0.72*3*D13)</f>
        <v>1450.2888000000007</v>
      </c>
    </row>
    <row r="49" spans="1:4" ht="12.75">
      <c r="A49" s="11" t="s">
        <v>33</v>
      </c>
      <c r="D49" s="12">
        <f>(1.45*4*D13)+(1.32*8*D13)</f>
        <v>10984.594800000006</v>
      </c>
    </row>
    <row r="50" spans="1:4" ht="12.75">
      <c r="A50" s="11" t="s">
        <v>34</v>
      </c>
      <c r="D50" s="12">
        <f>(4.94*4*D13)+(4.51*8*D13)</f>
        <v>37492.651200000015</v>
      </c>
    </row>
    <row r="51" spans="1:4" ht="12.75">
      <c r="A51" s="11" t="s">
        <v>35</v>
      </c>
      <c r="D51" s="12">
        <f>(0.29*4*D13)+(0.26*8*D13)</f>
        <v>2175.433200000001</v>
      </c>
    </row>
    <row r="52" spans="1:7" ht="12.75">
      <c r="A52" s="11" t="s">
        <v>75</v>
      </c>
      <c r="D52" s="12">
        <f>(3.87*4*D13)+(3.52*8*D13)</f>
        <v>29301.205200000015</v>
      </c>
      <c r="G52" s="12"/>
    </row>
    <row r="53" spans="1:7" ht="12.75">
      <c r="A53" s="11" t="s">
        <v>36</v>
      </c>
      <c r="D53" s="12">
        <f>2.25*12*D14</f>
        <v>75343.50000000004</v>
      </c>
      <c r="G53" s="18"/>
    </row>
    <row r="54" spans="1:4" ht="12.75">
      <c r="A54" s="11" t="s">
        <v>37</v>
      </c>
      <c r="D54" s="12">
        <v>25356</v>
      </c>
    </row>
    <row r="55" spans="1:8" ht="12.75">
      <c r="A55" s="11" t="s">
        <v>38</v>
      </c>
      <c r="D55" s="12">
        <f>(0.91*4*D13)+(0.83*8*D13)</f>
        <v>6902.300400000002</v>
      </c>
      <c r="H55" s="22"/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D41+D44+D45+D46+D47+D48+D49+D50+D51+D52+D53+D54+D55+D56</f>
        <v>223769.1480000001</v>
      </c>
    </row>
    <row r="59" spans="1:4" ht="12.75">
      <c r="A59" s="11"/>
      <c r="D59" s="12"/>
    </row>
    <row r="60" spans="1:4" ht="12.75">
      <c r="A60" t="s">
        <v>69</v>
      </c>
      <c r="D60" s="12">
        <f>C37-D58</f>
        <v>-15413.908000000083</v>
      </c>
    </row>
    <row r="63" ht="12.75">
      <c r="A63" s="11"/>
    </row>
    <row r="65" ht="12.75">
      <c r="A65" s="16"/>
    </row>
    <row r="68" ht="12.75">
      <c r="A68" s="16"/>
    </row>
    <row r="72" ht="12.75">
      <c r="A72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69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13.57421875" style="0" customWidth="1"/>
    <col min="2" max="2" width="16.00390625" style="0" customWidth="1"/>
    <col min="3" max="3" width="13.57421875" style="0" customWidth="1"/>
    <col min="4" max="4" width="13.28125" style="0" customWidth="1"/>
  </cols>
  <sheetData>
    <row r="1" spans="1:7" ht="12.75">
      <c r="A1" s="1" t="s">
        <v>0</v>
      </c>
      <c r="B1" s="2" t="s">
        <v>1</v>
      </c>
      <c r="C1" s="1" t="s">
        <v>43</v>
      </c>
      <c r="D1" s="1"/>
      <c r="E1" s="1" t="s">
        <v>2</v>
      </c>
      <c r="F1" s="3" t="s">
        <v>46</v>
      </c>
      <c r="G1">
        <v>2016</v>
      </c>
    </row>
    <row r="3" spans="1:5" ht="12.75">
      <c r="A3" t="s">
        <v>3</v>
      </c>
      <c r="D3" s="4">
        <v>1738.99</v>
      </c>
      <c r="E3" s="5" t="s">
        <v>40</v>
      </c>
    </row>
    <row r="4" spans="1:5" ht="12.75">
      <c r="A4" t="s">
        <v>4</v>
      </c>
      <c r="D4" s="4">
        <v>53</v>
      </c>
      <c r="E4" s="5"/>
    </row>
    <row r="5" spans="1:5" ht="12.75">
      <c r="A5" t="s">
        <v>5</v>
      </c>
      <c r="D5" s="4">
        <v>112</v>
      </c>
      <c r="E5" s="5" t="s">
        <v>6</v>
      </c>
    </row>
    <row r="6" spans="1:5" ht="12.75">
      <c r="A6" t="s">
        <v>7</v>
      </c>
      <c r="D6" s="4">
        <v>134</v>
      </c>
      <c r="E6" s="5" t="s">
        <v>40</v>
      </c>
    </row>
    <row r="7" spans="1:5" ht="12.75">
      <c r="A7" t="s">
        <v>8</v>
      </c>
      <c r="D7" s="4">
        <v>1077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356639.45000000007</v>
      </c>
      <c r="C11" s="8">
        <f>SUM(C12:C23)</f>
        <v>352579.57</v>
      </c>
      <c r="D11" s="8">
        <f>SUM(D12:D23)</f>
        <v>4059.880000000001</v>
      </c>
    </row>
    <row r="12" spans="1:4" ht="12.75">
      <c r="A12" s="9" t="s">
        <v>25</v>
      </c>
      <c r="B12" s="8">
        <v>30003.94</v>
      </c>
      <c r="C12" s="8">
        <v>12767.75</v>
      </c>
      <c r="D12" s="8">
        <f aca="true" t="shared" si="0" ref="D12:D23">B12-C12</f>
        <v>17236.19</v>
      </c>
    </row>
    <row r="13" spans="1:4" ht="12.75">
      <c r="A13" s="9" t="s">
        <v>13</v>
      </c>
      <c r="B13" s="8">
        <f>29674.95-328.99</f>
        <v>29345.96</v>
      </c>
      <c r="C13" s="13">
        <v>26580.42</v>
      </c>
      <c r="D13" s="8">
        <f t="shared" si="0"/>
        <v>2765.540000000001</v>
      </c>
    </row>
    <row r="14" spans="1:4" ht="12.75">
      <c r="A14" s="9" t="s">
        <v>14</v>
      </c>
      <c r="B14" s="13">
        <v>29524.5</v>
      </c>
      <c r="C14" s="13">
        <v>31524</v>
      </c>
      <c r="D14" s="8">
        <f t="shared" si="0"/>
        <v>-1999.5</v>
      </c>
    </row>
    <row r="15" spans="1:4" ht="12.75">
      <c r="A15" s="9" t="s">
        <v>15</v>
      </c>
      <c r="B15" s="13">
        <v>29524.5</v>
      </c>
      <c r="C15" s="13">
        <v>31375.68</v>
      </c>
      <c r="D15" s="8">
        <f t="shared" si="0"/>
        <v>-1851.1800000000003</v>
      </c>
    </row>
    <row r="16" spans="1:4" ht="12.75">
      <c r="A16" s="9" t="s">
        <v>16</v>
      </c>
      <c r="B16" s="13">
        <v>29524.5</v>
      </c>
      <c r="C16" s="13">
        <v>50303.17</v>
      </c>
      <c r="D16" s="8">
        <f t="shared" si="0"/>
        <v>-20778.67</v>
      </c>
    </row>
    <row r="17" spans="1:4" ht="12.75">
      <c r="A17" s="9" t="s">
        <v>17</v>
      </c>
      <c r="B17" s="13">
        <v>28946.76</v>
      </c>
      <c r="C17" s="13">
        <v>32582.03</v>
      </c>
      <c r="D17" s="8">
        <f t="shared" si="0"/>
        <v>-3635.2700000000004</v>
      </c>
    </row>
    <row r="18" spans="1:4" ht="12.75">
      <c r="A18" s="9" t="s">
        <v>18</v>
      </c>
      <c r="B18" s="13">
        <v>28946.76</v>
      </c>
      <c r="C18" s="13">
        <v>22028.87</v>
      </c>
      <c r="D18" s="8">
        <f t="shared" si="0"/>
        <v>6917.889999999999</v>
      </c>
    </row>
    <row r="19" spans="1:4" ht="12.75">
      <c r="A19" s="9" t="s">
        <v>19</v>
      </c>
      <c r="B19" s="13">
        <v>28946.76</v>
      </c>
      <c r="C19" s="13">
        <v>38213.96</v>
      </c>
      <c r="D19" s="8">
        <f t="shared" si="0"/>
        <v>-9267.2</v>
      </c>
    </row>
    <row r="20" spans="1:4" ht="12.75">
      <c r="A20" s="9" t="s">
        <v>20</v>
      </c>
      <c r="B20" s="13">
        <v>31581.3</v>
      </c>
      <c r="C20" s="13">
        <v>32733.84</v>
      </c>
      <c r="D20" s="8">
        <f t="shared" si="0"/>
        <v>-1152.5400000000009</v>
      </c>
    </row>
    <row r="21" spans="1:4" ht="12.75">
      <c r="A21" s="9" t="s">
        <v>21</v>
      </c>
      <c r="B21" s="13">
        <f>31204.08-3121.44</f>
        <v>28082.640000000003</v>
      </c>
      <c r="C21" s="13">
        <v>29069.68</v>
      </c>
      <c r="D21" s="13">
        <f t="shared" si="0"/>
        <v>-987.0399999999972</v>
      </c>
    </row>
    <row r="22" spans="1:4" ht="12.75">
      <c r="A22" s="9" t="s">
        <v>22</v>
      </c>
      <c r="B22" s="13">
        <v>31204.08</v>
      </c>
      <c r="C22" s="13">
        <v>21399.99</v>
      </c>
      <c r="D22" s="13">
        <f t="shared" si="0"/>
        <v>9804.09</v>
      </c>
    </row>
    <row r="23" spans="1:4" ht="12.75">
      <c r="A23" s="9" t="s">
        <v>23</v>
      </c>
      <c r="B23" s="13">
        <v>31007.75</v>
      </c>
      <c r="C23" s="13">
        <v>24000.18</v>
      </c>
      <c r="D23" s="13">
        <f t="shared" si="0"/>
        <v>7007.57</v>
      </c>
    </row>
    <row r="24" spans="1:4" ht="12.75">
      <c r="A24" s="7" t="s">
        <v>24</v>
      </c>
      <c r="B24" s="8">
        <f>SUM(B25:B36)</f>
        <v>370.6</v>
      </c>
      <c r="C24" s="8">
        <f>SUM(C25:C36)</f>
        <v>478.39</v>
      </c>
      <c r="D24" s="8">
        <f>SUM(D25:D36)</f>
        <v>-107.78999999999999</v>
      </c>
    </row>
    <row r="25" spans="1:4" ht="12.75">
      <c r="A25" s="9" t="s">
        <v>25</v>
      </c>
      <c r="B25" s="8">
        <v>35.25</v>
      </c>
      <c r="C25" s="8">
        <v>-1.12</v>
      </c>
      <c r="D25" s="8">
        <f aca="true" t="shared" si="1" ref="D25:D36">B25-C25</f>
        <v>36.37</v>
      </c>
    </row>
    <row r="26" spans="1:4" ht="12.75">
      <c r="A26" s="9" t="s">
        <v>13</v>
      </c>
      <c r="B26" s="8">
        <v>34.1</v>
      </c>
      <c r="C26" s="13">
        <v>23.36</v>
      </c>
      <c r="D26" s="8">
        <f t="shared" si="1"/>
        <v>10.740000000000002</v>
      </c>
    </row>
    <row r="27" spans="1:4" ht="12.75">
      <c r="A27" s="9" t="s">
        <v>14</v>
      </c>
      <c r="B27" s="8">
        <v>34.1</v>
      </c>
      <c r="C27" s="13">
        <v>68.56</v>
      </c>
      <c r="D27" s="8">
        <f t="shared" si="1"/>
        <v>-34.46</v>
      </c>
    </row>
    <row r="28" spans="1:4" ht="12.75">
      <c r="A28" s="9" t="s">
        <v>15</v>
      </c>
      <c r="B28" s="8">
        <v>34.1</v>
      </c>
      <c r="C28" s="13">
        <v>45.9</v>
      </c>
      <c r="D28" s="8">
        <f t="shared" si="1"/>
        <v>-11.799999999999997</v>
      </c>
    </row>
    <row r="29" spans="1:4" ht="12.75">
      <c r="A29" s="9" t="s">
        <v>16</v>
      </c>
      <c r="B29" s="8">
        <v>34.1</v>
      </c>
      <c r="C29" s="13">
        <v>121.69</v>
      </c>
      <c r="D29" s="8">
        <f t="shared" si="1"/>
        <v>-87.59</v>
      </c>
    </row>
    <row r="30" spans="1:4" ht="12.75">
      <c r="A30" s="9" t="s">
        <v>17</v>
      </c>
      <c r="B30" s="8">
        <v>30.65</v>
      </c>
      <c r="C30" s="13">
        <v>49.32</v>
      </c>
      <c r="D30" s="8">
        <f t="shared" si="1"/>
        <v>-18.67</v>
      </c>
    </row>
    <row r="31" spans="1:4" ht="12.75">
      <c r="A31" s="9" t="s">
        <v>18</v>
      </c>
      <c r="B31" s="8">
        <v>30.65</v>
      </c>
      <c r="C31" s="13">
        <v>17.44</v>
      </c>
      <c r="D31" s="8">
        <f t="shared" si="1"/>
        <v>13.209999999999997</v>
      </c>
    </row>
    <row r="32" spans="1:4" ht="12.75">
      <c r="A32" s="9" t="s">
        <v>19</v>
      </c>
      <c r="B32" s="8">
        <v>28.17</v>
      </c>
      <c r="C32" s="13">
        <v>75.83</v>
      </c>
      <c r="D32" s="8">
        <f t="shared" si="1"/>
        <v>-47.66</v>
      </c>
    </row>
    <row r="33" spans="1:4" ht="12.75">
      <c r="A33" s="9" t="s">
        <v>20</v>
      </c>
      <c r="B33" s="8">
        <v>27.37</v>
      </c>
      <c r="C33" s="13">
        <v>18.97</v>
      </c>
      <c r="D33" s="8">
        <f t="shared" si="1"/>
        <v>8.400000000000002</v>
      </c>
    </row>
    <row r="34" spans="1:4" ht="12.75">
      <c r="A34" s="9" t="s">
        <v>21</v>
      </c>
      <c r="B34" s="8">
        <v>27.37</v>
      </c>
      <c r="C34" s="13">
        <v>25.6</v>
      </c>
      <c r="D34" s="13">
        <f t="shared" si="1"/>
        <v>1.7699999999999996</v>
      </c>
    </row>
    <row r="35" spans="1:4" ht="12.75">
      <c r="A35" s="9" t="s">
        <v>22</v>
      </c>
      <c r="B35" s="8">
        <v>27.37</v>
      </c>
      <c r="C35" s="13">
        <v>16.42</v>
      </c>
      <c r="D35" s="13">
        <f t="shared" si="1"/>
        <v>10.95</v>
      </c>
    </row>
    <row r="36" spans="1:4" ht="12.75">
      <c r="A36" s="9" t="s">
        <v>23</v>
      </c>
      <c r="B36" s="8">
        <v>27.37</v>
      </c>
      <c r="C36" s="13">
        <v>16.42</v>
      </c>
      <c r="D36" s="13">
        <f t="shared" si="1"/>
        <v>10.95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42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19</v>
      </c>
      <c r="B41" s="8"/>
      <c r="C41" s="8"/>
      <c r="D41" s="8">
        <f>B41-C41</f>
        <v>0</v>
      </c>
    </row>
    <row r="42" spans="1:4" ht="12.75" hidden="1">
      <c r="A42" s="9" t="s">
        <v>20</v>
      </c>
      <c r="B42" s="13"/>
      <c r="C42" s="13"/>
      <c r="D42" s="8">
        <f>B42-C42</f>
        <v>0</v>
      </c>
    </row>
    <row r="43" spans="1:4" ht="12.75" hidden="1">
      <c r="A43" s="9" t="s">
        <v>21</v>
      </c>
      <c r="B43" s="13"/>
      <c r="C43" s="13"/>
      <c r="D43" s="13">
        <f>B43-C43</f>
        <v>0</v>
      </c>
    </row>
    <row r="44" spans="1:4" ht="12.75" hidden="1">
      <c r="A44" s="9" t="s">
        <v>22</v>
      </c>
      <c r="B44" s="13"/>
      <c r="C44" s="13"/>
      <c r="D44" s="13">
        <f>B44-C44</f>
        <v>0</v>
      </c>
    </row>
    <row r="45" spans="1:4" ht="12.75" hidden="1">
      <c r="A45" s="9" t="s">
        <v>23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357010.05000000005</v>
      </c>
      <c r="C46" s="8">
        <f>C11+C24</f>
        <v>353057.96</v>
      </c>
      <c r="D46" s="8">
        <f>D11+D24</f>
        <v>3952.090000000001</v>
      </c>
    </row>
    <row r="48" spans="1:4" ht="12.75">
      <c r="A48" t="s">
        <v>27</v>
      </c>
      <c r="D48" s="12">
        <f>D46</f>
        <v>3952.090000000001</v>
      </c>
    </row>
    <row r="50" spans="1:4" ht="12.75">
      <c r="A50" s="11" t="s">
        <v>28</v>
      </c>
      <c r="D50" s="12">
        <f>D51+D52</f>
        <v>31093.141200000002</v>
      </c>
    </row>
    <row r="51" spans="1:4" ht="12.75" hidden="1">
      <c r="A51" s="11" t="s">
        <v>29</v>
      </c>
      <c r="D51" s="12">
        <f>(1.33*4*D3)+(1.21*8*D3)</f>
        <v>26084.850000000002</v>
      </c>
    </row>
    <row r="52" spans="1:4" ht="12.75" hidden="1">
      <c r="A52" s="11" t="s">
        <v>30</v>
      </c>
      <c r="D52" s="12">
        <f>(0.24*12*D3)</f>
        <v>5008.2912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948*0.22*4+(948*2.5)</f>
        <v>3204.24</v>
      </c>
    </row>
    <row r="55" spans="1:4" ht="12.75">
      <c r="A55" s="11" t="s">
        <v>80</v>
      </c>
      <c r="D55" s="12">
        <f>(2.66*4*D3)+(2.42*8*D3)</f>
        <v>52169.700000000004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(0.72*2*D3)</f>
        <v>2504.1456</v>
      </c>
    </row>
    <row r="58" spans="1:4" ht="12.75">
      <c r="A58" s="11" t="s">
        <v>33</v>
      </c>
      <c r="D58" s="12">
        <f>(1.45*4*D3)+(1.32*8*D3)</f>
        <v>28449.8764</v>
      </c>
    </row>
    <row r="59" spans="1:4" ht="12.75">
      <c r="A59" s="11" t="s">
        <v>34</v>
      </c>
      <c r="D59" s="12">
        <f>(5.11*4*D3)+(4.51*8*D3)</f>
        <v>98287.7148</v>
      </c>
    </row>
    <row r="60" spans="1:4" ht="12.75" hidden="1">
      <c r="A60" s="11" t="s">
        <v>35</v>
      </c>
      <c r="D60" s="12">
        <v>0</v>
      </c>
    </row>
    <row r="61" spans="1:4" ht="12.75">
      <c r="A61" s="11" t="s">
        <v>78</v>
      </c>
      <c r="D61" s="12">
        <f>(3.87*4*D3)+(3.52*8*D3)</f>
        <v>75889.5236</v>
      </c>
    </row>
    <row r="62" spans="1:4" ht="12.75">
      <c r="A62" s="11" t="s">
        <v>36</v>
      </c>
      <c r="D62" s="12">
        <f>2.25*12*D3</f>
        <v>46952.73</v>
      </c>
    </row>
    <row r="63" spans="1:4" ht="12.75">
      <c r="A63" s="11" t="s">
        <v>37</v>
      </c>
      <c r="D63" s="12">
        <v>26802.33</v>
      </c>
    </row>
    <row r="64" spans="1:8" ht="12.75">
      <c r="A64" s="11" t="s">
        <v>38</v>
      </c>
      <c r="D64" s="12">
        <f>(0.91*4*D3)+(0.83*8*D3)</f>
        <v>17876.817199999998</v>
      </c>
      <c r="H64" s="22"/>
    </row>
    <row r="65" spans="1:8" ht="12.75" hidden="1">
      <c r="A65" s="14" t="s">
        <v>62</v>
      </c>
      <c r="D65" s="12">
        <v>0</v>
      </c>
      <c r="H65" s="22"/>
    </row>
    <row r="66" spans="1:8" ht="12.75">
      <c r="A66" s="11"/>
      <c r="D66" s="12"/>
      <c r="H66" s="22"/>
    </row>
    <row r="67" spans="1:8" ht="12.75">
      <c r="A67" s="11" t="s">
        <v>39</v>
      </c>
      <c r="D67" s="12">
        <f>D50+D53+D54+D55+D56+D57+D58+D59+D60+D61+D62+D63+D64</f>
        <v>383230.21880000003</v>
      </c>
      <c r="H67" s="22"/>
    </row>
    <row r="68" spans="1:4" ht="12.75">
      <c r="A68" s="11"/>
      <c r="D68" s="12"/>
    </row>
    <row r="69" spans="1:4" ht="12.75">
      <c r="A69" t="s">
        <v>65</v>
      </c>
      <c r="D69" s="12">
        <f>C46-D67</f>
        <v>-30172.25880000001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72"/>
  <sheetViews>
    <sheetView zoomScalePageLayoutView="0" workbookViewId="0" topLeftCell="A1">
      <selection activeCell="J68" sqref="J68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14.00390625" style="0" customWidth="1"/>
    <col min="4" max="4" width="14.140625" style="0" customWidth="1"/>
  </cols>
  <sheetData>
    <row r="1" spans="1:7" ht="12.75">
      <c r="A1" s="1" t="s">
        <v>0</v>
      </c>
      <c r="B1" s="2" t="s">
        <v>1</v>
      </c>
      <c r="C1" s="1" t="s">
        <v>43</v>
      </c>
      <c r="D1" s="1"/>
      <c r="E1" s="1" t="s">
        <v>2</v>
      </c>
      <c r="F1" s="3" t="s">
        <v>55</v>
      </c>
      <c r="G1">
        <v>2016</v>
      </c>
    </row>
    <row r="3" spans="1:5" ht="12.75">
      <c r="A3" t="s">
        <v>3</v>
      </c>
      <c r="D3" s="4">
        <v>2078.5</v>
      </c>
      <c r="E3" s="5" t="s">
        <v>40</v>
      </c>
    </row>
    <row r="4" spans="1:5" ht="12.75">
      <c r="A4" t="s">
        <v>4</v>
      </c>
      <c r="D4" s="4">
        <v>40</v>
      </c>
      <c r="E4" s="5"/>
    </row>
    <row r="5" spans="1:5" ht="12.75">
      <c r="A5" t="s">
        <v>5</v>
      </c>
      <c r="D5" s="4">
        <v>97</v>
      </c>
      <c r="E5" s="5" t="s">
        <v>6</v>
      </c>
    </row>
    <row r="6" spans="1:5" ht="12.75">
      <c r="A6" t="s">
        <v>7</v>
      </c>
      <c r="D6" s="4">
        <v>247</v>
      </c>
      <c r="E6" s="5" t="s">
        <v>40</v>
      </c>
    </row>
    <row r="7" spans="1:5" ht="12.75">
      <c r="A7" t="s">
        <v>8</v>
      </c>
      <c r="D7" s="4">
        <v>2928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516963.3199999999</v>
      </c>
      <c r="C11" s="8">
        <f>SUM(C12:C23)</f>
        <v>545413.6199999999</v>
      </c>
      <c r="D11" s="8">
        <f>SUM(D12:D23)</f>
        <v>-28450.29999999999</v>
      </c>
    </row>
    <row r="12" spans="1:4" ht="12.75">
      <c r="A12" s="9" t="s">
        <v>25</v>
      </c>
      <c r="B12" s="8">
        <v>41694.61</v>
      </c>
      <c r="C12" s="8">
        <v>43320.28</v>
      </c>
      <c r="D12" s="8">
        <f aca="true" t="shared" si="0" ref="D12:D23">B12-C12</f>
        <v>-1625.6699999999983</v>
      </c>
    </row>
    <row r="13" spans="1:4" ht="12.75">
      <c r="A13" s="9" t="s">
        <v>13</v>
      </c>
      <c r="B13" s="8">
        <v>41694.61</v>
      </c>
      <c r="C13" s="13">
        <v>44887.34</v>
      </c>
      <c r="D13" s="8">
        <f t="shared" si="0"/>
        <v>-3192.729999999996</v>
      </c>
    </row>
    <row r="14" spans="1:4" ht="12.75">
      <c r="A14" s="9" t="s">
        <v>14</v>
      </c>
      <c r="B14" s="8">
        <v>41694.61</v>
      </c>
      <c r="C14" s="13">
        <v>46936.79</v>
      </c>
      <c r="D14" s="8">
        <f t="shared" si="0"/>
        <v>-5242.18</v>
      </c>
    </row>
    <row r="15" spans="1:4" ht="12.75">
      <c r="A15" s="9" t="s">
        <v>15</v>
      </c>
      <c r="B15" s="8">
        <v>41694.61</v>
      </c>
      <c r="C15" s="13">
        <v>42236.4</v>
      </c>
      <c r="D15" s="8">
        <f t="shared" si="0"/>
        <v>-541.7900000000009</v>
      </c>
    </row>
    <row r="16" spans="1:4" ht="12.75">
      <c r="A16" s="9" t="s">
        <v>16</v>
      </c>
      <c r="B16" s="8">
        <v>41694.61</v>
      </c>
      <c r="C16" s="13">
        <v>57595.11</v>
      </c>
      <c r="D16" s="8">
        <f t="shared" si="0"/>
        <v>-15900.5</v>
      </c>
    </row>
    <row r="17" spans="1:4" ht="12.75">
      <c r="A17" s="9" t="s">
        <v>17</v>
      </c>
      <c r="B17" s="8">
        <v>41694.61</v>
      </c>
      <c r="C17" s="13">
        <v>52596.55</v>
      </c>
      <c r="D17" s="8">
        <f t="shared" si="0"/>
        <v>-10901.940000000002</v>
      </c>
    </row>
    <row r="18" spans="1:4" ht="12.75">
      <c r="A18" s="9" t="s">
        <v>18</v>
      </c>
      <c r="B18" s="8">
        <v>41694.61</v>
      </c>
      <c r="C18" s="13">
        <v>34880.1</v>
      </c>
      <c r="D18" s="8">
        <f t="shared" si="0"/>
        <v>6814.510000000002</v>
      </c>
    </row>
    <row r="19" spans="1:4" ht="12.75">
      <c r="A19" s="9" t="s">
        <v>19</v>
      </c>
      <c r="B19" s="8">
        <v>41694.61</v>
      </c>
      <c r="C19" s="13">
        <v>45276.81</v>
      </c>
      <c r="D19" s="8">
        <f t="shared" si="0"/>
        <v>-3582.199999999997</v>
      </c>
    </row>
    <row r="20" spans="1:4" ht="12.75">
      <c r="A20" s="9" t="s">
        <v>20</v>
      </c>
      <c r="B20" s="13">
        <v>45851.61</v>
      </c>
      <c r="C20" s="13">
        <v>41913.91</v>
      </c>
      <c r="D20" s="8">
        <f t="shared" si="0"/>
        <v>3937.699999999997</v>
      </c>
    </row>
    <row r="21" spans="1:4" ht="12.75">
      <c r="A21" s="9" t="s">
        <v>21</v>
      </c>
      <c r="B21" s="13">
        <v>45851.61</v>
      </c>
      <c r="C21" s="13">
        <v>49074.04</v>
      </c>
      <c r="D21" s="13">
        <f t="shared" si="0"/>
        <v>-3222.4300000000003</v>
      </c>
    </row>
    <row r="22" spans="1:4" ht="12.75">
      <c r="A22" s="9" t="s">
        <v>22</v>
      </c>
      <c r="B22" s="13">
        <v>45851.61</v>
      </c>
      <c r="C22" s="13">
        <v>42296.09</v>
      </c>
      <c r="D22" s="13">
        <f t="shared" si="0"/>
        <v>3555.520000000004</v>
      </c>
    </row>
    <row r="23" spans="1:4" ht="12.75">
      <c r="A23" s="9" t="s">
        <v>23</v>
      </c>
      <c r="B23" s="13">
        <v>45851.61</v>
      </c>
      <c r="C23" s="13">
        <v>44400.2</v>
      </c>
      <c r="D23" s="13">
        <f t="shared" si="0"/>
        <v>1451.4100000000035</v>
      </c>
    </row>
    <row r="24" spans="1:4" ht="12.75">
      <c r="A24" s="7" t="s">
        <v>24</v>
      </c>
      <c r="B24" s="8">
        <f>SUM(B25:B36)</f>
        <v>130.18999999999997</v>
      </c>
      <c r="C24" s="8">
        <f>SUM(C25:C36)</f>
        <v>194.37999999999997</v>
      </c>
      <c r="D24" s="8">
        <f>SUM(D25:D36)</f>
        <v>-64.19000000000003</v>
      </c>
    </row>
    <row r="25" spans="1:4" ht="12.75">
      <c r="A25" s="9" t="s">
        <v>25</v>
      </c>
      <c r="B25" s="8">
        <v>10.84</v>
      </c>
      <c r="C25" s="8">
        <v>10.63</v>
      </c>
      <c r="D25" s="8">
        <f aca="true" t="shared" si="1" ref="D25:D36">B25-C25</f>
        <v>0.20999999999999908</v>
      </c>
    </row>
    <row r="26" spans="1:4" ht="12.75">
      <c r="A26" s="9" t="s">
        <v>13</v>
      </c>
      <c r="B26" s="8">
        <v>10.85</v>
      </c>
      <c r="C26" s="13">
        <v>27.87</v>
      </c>
      <c r="D26" s="8">
        <f t="shared" si="1"/>
        <v>-17.020000000000003</v>
      </c>
    </row>
    <row r="27" spans="1:4" ht="12.75">
      <c r="A27" s="9" t="s">
        <v>14</v>
      </c>
      <c r="B27" s="8">
        <v>10.85</v>
      </c>
      <c r="C27" s="13">
        <v>33.82</v>
      </c>
      <c r="D27" s="8">
        <f t="shared" si="1"/>
        <v>-22.97</v>
      </c>
    </row>
    <row r="28" spans="1:4" ht="12.75">
      <c r="A28" s="9" t="s">
        <v>15</v>
      </c>
      <c r="B28" s="8">
        <v>10.85</v>
      </c>
      <c r="C28" s="13">
        <v>23.16</v>
      </c>
      <c r="D28" s="8">
        <f t="shared" si="1"/>
        <v>-12.31</v>
      </c>
    </row>
    <row r="29" spans="1:4" ht="12.75">
      <c r="A29" s="9" t="s">
        <v>16</v>
      </c>
      <c r="B29" s="8">
        <v>10.85</v>
      </c>
      <c r="C29" s="13">
        <v>28.88</v>
      </c>
      <c r="D29" s="8">
        <f t="shared" si="1"/>
        <v>-18.03</v>
      </c>
    </row>
    <row r="30" spans="1:4" ht="12.75">
      <c r="A30" s="9" t="s">
        <v>17</v>
      </c>
      <c r="B30" s="8">
        <v>10.85</v>
      </c>
      <c r="C30" s="13">
        <v>41.43</v>
      </c>
      <c r="D30" s="8">
        <f t="shared" si="1"/>
        <v>-30.58</v>
      </c>
    </row>
    <row r="31" spans="1:4" ht="12.75">
      <c r="A31" s="9" t="s">
        <v>18</v>
      </c>
      <c r="B31" s="8">
        <v>10.85</v>
      </c>
      <c r="C31" s="13">
        <v>4.94</v>
      </c>
      <c r="D31" s="8">
        <f t="shared" si="1"/>
        <v>5.909999999999999</v>
      </c>
    </row>
    <row r="32" spans="1:4" ht="12.75">
      <c r="A32" s="9" t="s">
        <v>19</v>
      </c>
      <c r="B32" s="8">
        <v>10.85</v>
      </c>
      <c r="C32" s="13">
        <v>4.94</v>
      </c>
      <c r="D32" s="8">
        <f t="shared" si="1"/>
        <v>5.909999999999999</v>
      </c>
    </row>
    <row r="33" spans="1:4" ht="12.75">
      <c r="A33" s="9" t="s">
        <v>20</v>
      </c>
      <c r="B33" s="8">
        <v>10.85</v>
      </c>
      <c r="C33" s="13">
        <v>4.94</v>
      </c>
      <c r="D33" s="8">
        <f t="shared" si="1"/>
        <v>5.909999999999999</v>
      </c>
    </row>
    <row r="34" spans="1:4" ht="12.75">
      <c r="A34" s="9" t="s">
        <v>21</v>
      </c>
      <c r="B34" s="8">
        <v>10.85</v>
      </c>
      <c r="C34" s="13">
        <v>4.94</v>
      </c>
      <c r="D34" s="13">
        <f t="shared" si="1"/>
        <v>5.909999999999999</v>
      </c>
    </row>
    <row r="35" spans="1:4" ht="12.75">
      <c r="A35" s="9" t="s">
        <v>22</v>
      </c>
      <c r="B35" s="8">
        <v>10.85</v>
      </c>
      <c r="C35" s="13">
        <v>4.94</v>
      </c>
      <c r="D35" s="13">
        <f t="shared" si="1"/>
        <v>5.909999999999999</v>
      </c>
    </row>
    <row r="36" spans="1:4" ht="12.75">
      <c r="A36" s="9" t="s">
        <v>23</v>
      </c>
      <c r="B36" s="8">
        <v>10.85</v>
      </c>
      <c r="C36" s="13">
        <v>3.89</v>
      </c>
      <c r="D36" s="13">
        <f t="shared" si="1"/>
        <v>6.959999999999999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81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17</v>
      </c>
      <c r="B41" s="8"/>
      <c r="C41" s="8"/>
      <c r="D41" s="8">
        <f>B41-C41</f>
        <v>0</v>
      </c>
    </row>
    <row r="42" spans="1:4" ht="12.75" hidden="1">
      <c r="A42" s="9" t="s">
        <v>18</v>
      </c>
      <c r="B42" s="13"/>
      <c r="C42" s="13"/>
      <c r="D42" s="8">
        <f>B42-C42</f>
        <v>0</v>
      </c>
    </row>
    <row r="43" spans="1:4" ht="12.75" hidden="1">
      <c r="A43" s="9" t="s">
        <v>19</v>
      </c>
      <c r="B43" s="13"/>
      <c r="C43" s="13"/>
      <c r="D43" s="13">
        <f>B43-C43</f>
        <v>0</v>
      </c>
    </row>
    <row r="44" spans="1:4" ht="12.75" hidden="1">
      <c r="A44" s="9" t="s">
        <v>20</v>
      </c>
      <c r="B44" s="13"/>
      <c r="C44" s="13"/>
      <c r="D44" s="13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517093.5099999999</v>
      </c>
      <c r="C46" s="8">
        <f>C11+C24</f>
        <v>545607.9999999999</v>
      </c>
      <c r="D46" s="8">
        <f>D11+D24</f>
        <v>-28514.489999999987</v>
      </c>
    </row>
    <row r="48" spans="1:4" ht="12.75">
      <c r="A48" t="s">
        <v>27</v>
      </c>
      <c r="D48" s="12">
        <f>D46</f>
        <v>-28514.489999999987</v>
      </c>
    </row>
    <row r="50" spans="1:4" ht="12.75">
      <c r="A50" s="11" t="s">
        <v>28</v>
      </c>
      <c r="D50" s="12">
        <f>D51+D52</f>
        <v>37163.58</v>
      </c>
    </row>
    <row r="51" spans="1:4" ht="12.75">
      <c r="A51" s="11" t="s">
        <v>29</v>
      </c>
      <c r="D51" s="12">
        <f>(1.33*4*D3)+(1.21*8*D3)</f>
        <v>31177.5</v>
      </c>
    </row>
    <row r="52" spans="1:4" ht="12.75">
      <c r="A52" s="11" t="s">
        <v>30</v>
      </c>
      <c r="D52" s="12">
        <f>(0.24*12*D3)</f>
        <v>5986.08</v>
      </c>
    </row>
    <row r="53" spans="1:4" ht="12.75">
      <c r="A53" s="11" t="s">
        <v>31</v>
      </c>
      <c r="D53" s="12">
        <v>0</v>
      </c>
    </row>
    <row r="54" spans="1:4" ht="12.75">
      <c r="A54" s="11" t="s">
        <v>77</v>
      </c>
      <c r="D54" s="12">
        <f>874.2*0.22*4+(874.2*2.5)</f>
        <v>2954.7960000000003</v>
      </c>
    </row>
    <row r="55" spans="1:4" ht="12.75">
      <c r="A55" s="11" t="s">
        <v>80</v>
      </c>
      <c r="D55" s="12">
        <f>(2.66*4*D3)+(2.42*8*D3)</f>
        <v>62355</v>
      </c>
    </row>
    <row r="56" spans="1:4" ht="12.75">
      <c r="A56" s="11" t="s">
        <v>32</v>
      </c>
      <c r="D56" s="12">
        <v>0</v>
      </c>
    </row>
    <row r="57" spans="1:4" ht="12.75">
      <c r="A57" s="11" t="s">
        <v>76</v>
      </c>
      <c r="D57" s="12">
        <f>(0.72*2*D3)</f>
        <v>2993.04</v>
      </c>
    </row>
    <row r="58" spans="1:4" ht="12.75">
      <c r="A58" s="11" t="s">
        <v>33</v>
      </c>
      <c r="D58" s="12">
        <f>(1.45*4*D3)+(1.32*8*D3)</f>
        <v>34004.26</v>
      </c>
    </row>
    <row r="59" spans="1:4" ht="12.75">
      <c r="A59" s="11" t="s">
        <v>34</v>
      </c>
      <c r="D59" s="12">
        <f>(5.11*4*D3)+(4.51*8*D3)</f>
        <v>117476.82</v>
      </c>
    </row>
    <row r="60" spans="1:4" ht="12.75">
      <c r="A60" s="11" t="s">
        <v>35</v>
      </c>
      <c r="D60" s="12">
        <f>(0.29*4*D3)+(0.26*8*D3)</f>
        <v>6734.34</v>
      </c>
    </row>
    <row r="61" spans="1:4" ht="12.75">
      <c r="A61" s="11" t="s">
        <v>78</v>
      </c>
      <c r="D61" s="12">
        <f>(3.87*4*D3)+(3.52*8*D3)</f>
        <v>90705.73999999999</v>
      </c>
    </row>
    <row r="62" spans="1:4" ht="12.75">
      <c r="A62" s="11" t="s">
        <v>36</v>
      </c>
      <c r="D62" s="12">
        <f>2.25*12*D4</f>
        <v>1080</v>
      </c>
    </row>
    <row r="63" spans="1:4" ht="12.75">
      <c r="A63" s="11" t="s">
        <v>37</v>
      </c>
      <c r="D63" s="12">
        <v>174795.3</v>
      </c>
    </row>
    <row r="64" spans="1:4" ht="12.75">
      <c r="A64" s="11" t="s">
        <v>38</v>
      </c>
      <c r="D64" s="12">
        <f>(0.91*4*D3)+(0.83*8*D3)</f>
        <v>21366.98</v>
      </c>
    </row>
    <row r="65" spans="1:4" ht="12.75" hidden="1">
      <c r="A65" s="14" t="s">
        <v>62</v>
      </c>
      <c r="D65" s="12">
        <v>0</v>
      </c>
    </row>
    <row r="66" spans="1:4" ht="12.75">
      <c r="A66" s="11"/>
      <c r="D66" s="12"/>
    </row>
    <row r="67" spans="1:4" ht="12.75">
      <c r="A67" s="11" t="s">
        <v>39</v>
      </c>
      <c r="D67" s="12">
        <f>D50+D53+D54+D55+D56+D57+D58+D59+D60+D61+D62+D63+D64</f>
        <v>551629.8559999999</v>
      </c>
    </row>
    <row r="68" spans="1:4" ht="12.75">
      <c r="A68" s="11"/>
      <c r="D68" s="12"/>
    </row>
    <row r="69" spans="1:8" ht="12.75">
      <c r="A69" t="s">
        <v>65</v>
      </c>
      <c r="D69" s="12">
        <f>C46-D67</f>
        <v>-6021.856000000029</v>
      </c>
      <c r="H69" s="22"/>
    </row>
    <row r="70" ht="12.75">
      <c r="H70" s="22"/>
    </row>
    <row r="71" ht="12.75">
      <c r="H71" s="22"/>
    </row>
    <row r="72" ht="12.75">
      <c r="H72" s="2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84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14.421875" style="0" customWidth="1"/>
    <col min="2" max="2" width="14.57421875" style="0" customWidth="1"/>
    <col min="3" max="3" width="14.28125" style="0" customWidth="1"/>
    <col min="4" max="4" width="15.421875" style="0" customWidth="1"/>
  </cols>
  <sheetData>
    <row r="1" spans="1:7" ht="12.75">
      <c r="A1" s="1" t="s">
        <v>0</v>
      </c>
      <c r="B1" s="2" t="s">
        <v>1</v>
      </c>
      <c r="C1" s="1" t="s">
        <v>43</v>
      </c>
      <c r="D1" s="1"/>
      <c r="E1" s="1" t="s">
        <v>2</v>
      </c>
      <c r="F1" s="3">
        <v>9</v>
      </c>
      <c r="G1">
        <v>2016</v>
      </c>
    </row>
    <row r="3" spans="1:5" ht="12.75">
      <c r="A3" t="s">
        <v>3</v>
      </c>
      <c r="D3" s="4">
        <v>6528.9</v>
      </c>
      <c r="E3" s="5" t="s">
        <v>40</v>
      </c>
    </row>
    <row r="4" spans="1:5" ht="12.75">
      <c r="A4" t="s">
        <v>4</v>
      </c>
      <c r="D4" s="4">
        <v>121</v>
      </c>
      <c r="E4" s="5"/>
    </row>
    <row r="5" spans="1:5" ht="12.75">
      <c r="A5" t="s">
        <v>5</v>
      </c>
      <c r="D5" s="4">
        <v>296</v>
      </c>
      <c r="E5" s="5" t="s">
        <v>6</v>
      </c>
    </row>
    <row r="6" spans="1:5" ht="12.75">
      <c r="A6" t="s">
        <v>7</v>
      </c>
      <c r="D6" s="4">
        <v>755</v>
      </c>
      <c r="E6" s="5" t="s">
        <v>40</v>
      </c>
    </row>
    <row r="7" spans="1:5" ht="12.75">
      <c r="A7" t="s">
        <v>8</v>
      </c>
      <c r="D7" s="4">
        <v>4332</v>
      </c>
      <c r="E7" s="5" t="s">
        <v>40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1623843.6599999997</v>
      </c>
      <c r="C11" s="8">
        <f>SUM(C12:C23)</f>
        <v>1616651.4300000002</v>
      </c>
      <c r="D11" s="8">
        <f>SUM(D12:D23)</f>
        <v>7192.2300000000105</v>
      </c>
    </row>
    <row r="12" spans="1:4" ht="12.75">
      <c r="A12" s="9" t="s">
        <v>25</v>
      </c>
      <c r="B12" s="8">
        <f>130969.68-23.7</f>
        <v>130945.98</v>
      </c>
      <c r="C12" s="8">
        <v>125984.15</v>
      </c>
      <c r="D12" s="8">
        <f aca="true" t="shared" si="0" ref="D12:D23">B12-C12</f>
        <v>4961.830000000002</v>
      </c>
    </row>
    <row r="13" spans="1:4" ht="12.75">
      <c r="A13" s="9" t="s">
        <v>13</v>
      </c>
      <c r="B13" s="8">
        <v>130969.68</v>
      </c>
      <c r="C13" s="13">
        <v>123661.52</v>
      </c>
      <c r="D13" s="8">
        <f t="shared" si="0"/>
        <v>7308.159999999989</v>
      </c>
    </row>
    <row r="14" spans="1:4" ht="12.75">
      <c r="A14" s="9" t="s">
        <v>14</v>
      </c>
      <c r="B14" s="8">
        <v>130969.68</v>
      </c>
      <c r="C14" s="13">
        <v>142351.47</v>
      </c>
      <c r="D14" s="8">
        <f t="shared" si="0"/>
        <v>-11381.790000000008</v>
      </c>
    </row>
    <row r="15" spans="1:4" ht="12.75">
      <c r="A15" s="9" t="s">
        <v>15</v>
      </c>
      <c r="B15" s="8">
        <v>130969.68</v>
      </c>
      <c r="C15" s="13">
        <v>130665.94</v>
      </c>
      <c r="D15" s="8">
        <f t="shared" si="0"/>
        <v>303.7399999999907</v>
      </c>
    </row>
    <row r="16" spans="1:4" ht="12.75">
      <c r="A16" s="9" t="s">
        <v>16</v>
      </c>
      <c r="B16" s="8">
        <v>130969.68</v>
      </c>
      <c r="C16" s="13">
        <v>131357.59</v>
      </c>
      <c r="D16" s="8">
        <f t="shared" si="0"/>
        <v>-387.9100000000035</v>
      </c>
    </row>
    <row r="17" spans="1:4" ht="12.75">
      <c r="A17" s="9" t="s">
        <v>17</v>
      </c>
      <c r="B17" s="8">
        <v>130969.68</v>
      </c>
      <c r="C17" s="13">
        <v>140059.08</v>
      </c>
      <c r="D17" s="8">
        <f t="shared" si="0"/>
        <v>-9089.399999999994</v>
      </c>
    </row>
    <row r="18" spans="1:4" ht="12.75">
      <c r="A18" s="9" t="s">
        <v>18</v>
      </c>
      <c r="B18" s="8">
        <v>130969.68</v>
      </c>
      <c r="C18" s="13">
        <v>122092.88</v>
      </c>
      <c r="D18" s="8">
        <f t="shared" si="0"/>
        <v>8876.799999999988</v>
      </c>
    </row>
    <row r="19" spans="1:4" ht="12.75">
      <c r="A19" s="9" t="s">
        <v>19</v>
      </c>
      <c r="B19" s="8">
        <v>130969.68</v>
      </c>
      <c r="C19" s="13">
        <v>143611.15</v>
      </c>
      <c r="D19" s="8">
        <f t="shared" si="0"/>
        <v>-12641.470000000001</v>
      </c>
    </row>
    <row r="20" spans="1:4" ht="12.75">
      <c r="A20" s="9" t="s">
        <v>20</v>
      </c>
      <c r="B20" s="13">
        <v>144027.48</v>
      </c>
      <c r="C20" s="13">
        <v>137447.06</v>
      </c>
      <c r="D20" s="8">
        <f t="shared" si="0"/>
        <v>6580.420000000013</v>
      </c>
    </row>
    <row r="21" spans="1:4" ht="12.75">
      <c r="A21" s="9" t="s">
        <v>21</v>
      </c>
      <c r="B21" s="13">
        <v>144027.48</v>
      </c>
      <c r="C21" s="13">
        <v>149839.8</v>
      </c>
      <c r="D21" s="13">
        <f t="shared" si="0"/>
        <v>-5812.319999999978</v>
      </c>
    </row>
    <row r="22" spans="1:4" ht="12.75">
      <c r="A22" s="9" t="s">
        <v>22</v>
      </c>
      <c r="B22" s="13">
        <v>144027.48</v>
      </c>
      <c r="C22" s="13">
        <v>131325.56</v>
      </c>
      <c r="D22" s="13">
        <f t="shared" si="0"/>
        <v>12701.920000000013</v>
      </c>
    </row>
    <row r="23" spans="1:4" ht="12.75">
      <c r="A23" s="9" t="s">
        <v>23</v>
      </c>
      <c r="B23" s="13">
        <v>144027.48</v>
      </c>
      <c r="C23" s="13">
        <v>138255.23</v>
      </c>
      <c r="D23" s="13">
        <f t="shared" si="0"/>
        <v>5772.25</v>
      </c>
    </row>
    <row r="24" spans="1:4" ht="12.75">
      <c r="A24" s="7" t="s">
        <v>24</v>
      </c>
      <c r="B24" s="8">
        <f>SUM(B25:B36)</f>
        <v>483.6899999999999</v>
      </c>
      <c r="C24" s="8">
        <f>SUM(C25:C36)</f>
        <v>448.75</v>
      </c>
      <c r="D24" s="8">
        <f>SUM(D25:D36)</f>
        <v>34.940000000000005</v>
      </c>
    </row>
    <row r="25" spans="1:4" ht="12.75">
      <c r="A25" s="9" t="s">
        <v>25</v>
      </c>
      <c r="B25" s="8">
        <v>45.32</v>
      </c>
      <c r="C25" s="8">
        <v>49.82</v>
      </c>
      <c r="D25" s="8">
        <f aca="true" t="shared" si="1" ref="D25:D36">B25-C25</f>
        <v>-4.5</v>
      </c>
    </row>
    <row r="26" spans="1:4" ht="12.75">
      <c r="A26" s="9" t="s">
        <v>13</v>
      </c>
      <c r="B26" s="8">
        <v>45.32</v>
      </c>
      <c r="C26" s="13">
        <v>33.03</v>
      </c>
      <c r="D26" s="8">
        <f t="shared" si="1"/>
        <v>12.29</v>
      </c>
    </row>
    <row r="27" spans="1:4" ht="12.75">
      <c r="A27" s="9" t="s">
        <v>14</v>
      </c>
      <c r="B27" s="8">
        <v>41.53</v>
      </c>
      <c r="C27" s="13">
        <v>40.12</v>
      </c>
      <c r="D27" s="8">
        <f t="shared" si="1"/>
        <v>1.4100000000000037</v>
      </c>
    </row>
    <row r="28" spans="1:4" ht="12.75">
      <c r="A28" s="9" t="s">
        <v>15</v>
      </c>
      <c r="B28" s="8">
        <v>41.53</v>
      </c>
      <c r="C28" s="13">
        <v>59.88</v>
      </c>
      <c r="D28" s="8">
        <f t="shared" si="1"/>
        <v>-18.35</v>
      </c>
    </row>
    <row r="29" spans="1:4" ht="12.75">
      <c r="A29" s="9" t="s">
        <v>16</v>
      </c>
      <c r="B29" s="8">
        <v>41.53</v>
      </c>
      <c r="C29" s="13">
        <v>35.47</v>
      </c>
      <c r="D29" s="8">
        <f t="shared" si="1"/>
        <v>6.060000000000002</v>
      </c>
    </row>
    <row r="30" spans="1:4" ht="12.75">
      <c r="A30" s="9" t="s">
        <v>17</v>
      </c>
      <c r="B30" s="8">
        <v>41.53</v>
      </c>
      <c r="C30" s="13">
        <v>57.78</v>
      </c>
      <c r="D30" s="8">
        <f t="shared" si="1"/>
        <v>-16.25</v>
      </c>
    </row>
    <row r="31" spans="1:4" ht="12.75">
      <c r="A31" s="9" t="s">
        <v>18</v>
      </c>
      <c r="B31" s="8">
        <v>41.53</v>
      </c>
      <c r="C31" s="13">
        <v>28.99</v>
      </c>
      <c r="D31" s="8">
        <f t="shared" si="1"/>
        <v>12.540000000000003</v>
      </c>
    </row>
    <row r="32" spans="1:4" ht="12.75">
      <c r="A32" s="9" t="s">
        <v>19</v>
      </c>
      <c r="B32" s="8">
        <v>37.08</v>
      </c>
      <c r="C32" s="13">
        <v>22.08</v>
      </c>
      <c r="D32" s="8">
        <f t="shared" si="1"/>
        <v>15</v>
      </c>
    </row>
    <row r="33" spans="1:4" ht="12.75">
      <c r="A33" s="9" t="s">
        <v>20</v>
      </c>
      <c r="B33" s="8">
        <v>37.08</v>
      </c>
      <c r="C33" s="13">
        <v>30.4</v>
      </c>
      <c r="D33" s="8">
        <f t="shared" si="1"/>
        <v>6.68</v>
      </c>
    </row>
    <row r="34" spans="1:4" ht="12.75">
      <c r="A34" s="9" t="s">
        <v>21</v>
      </c>
      <c r="B34" s="8">
        <v>37.08</v>
      </c>
      <c r="C34" s="13">
        <v>31.58</v>
      </c>
      <c r="D34" s="13">
        <f t="shared" si="1"/>
        <v>5.5</v>
      </c>
    </row>
    <row r="35" spans="1:4" ht="12.75">
      <c r="A35" s="9" t="s">
        <v>22</v>
      </c>
      <c r="B35" s="8">
        <v>37.08</v>
      </c>
      <c r="C35" s="13">
        <v>23.38</v>
      </c>
      <c r="D35" s="13">
        <f t="shared" si="1"/>
        <v>13.7</v>
      </c>
    </row>
    <row r="36" spans="1:4" ht="12.75">
      <c r="A36" s="9" t="s">
        <v>23</v>
      </c>
      <c r="B36" s="8">
        <v>37.08</v>
      </c>
      <c r="C36" s="13">
        <v>36.22</v>
      </c>
      <c r="D36" s="13">
        <f t="shared" si="1"/>
        <v>0.8599999999999994</v>
      </c>
    </row>
    <row r="37" spans="1:4" ht="12.75" hidden="1">
      <c r="A37" s="7" t="s">
        <v>41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81</v>
      </c>
      <c r="B40" s="8">
        <f>SUM(B41:B52)</f>
        <v>0</v>
      </c>
      <c r="C40" s="8">
        <f>SUM(C41:C52)</f>
        <v>0</v>
      </c>
      <c r="D40" s="8">
        <f>SUM(D41:D52)</f>
        <v>0</v>
      </c>
    </row>
    <row r="41" spans="1:4" ht="12.75" hidden="1">
      <c r="A41" s="9" t="s">
        <v>25</v>
      </c>
      <c r="B41" s="8"/>
      <c r="C41" s="8"/>
      <c r="D41" s="8">
        <f aca="true" t="shared" si="2" ref="D41:D47">B41-C41</f>
        <v>0</v>
      </c>
    </row>
    <row r="42" spans="1:4" ht="12.75" hidden="1">
      <c r="A42" s="9" t="s">
        <v>13</v>
      </c>
      <c r="B42" s="13"/>
      <c r="C42" s="13"/>
      <c r="D42" s="8">
        <f t="shared" si="2"/>
        <v>0</v>
      </c>
    </row>
    <row r="43" spans="1:4" ht="12.75" hidden="1">
      <c r="A43" s="9" t="s">
        <v>14</v>
      </c>
      <c r="B43" s="13"/>
      <c r="C43" s="13"/>
      <c r="D43" s="8">
        <f t="shared" si="2"/>
        <v>0</v>
      </c>
    </row>
    <row r="44" spans="1:4" ht="12.75" hidden="1">
      <c r="A44" s="9" t="s">
        <v>15</v>
      </c>
      <c r="B44" s="13"/>
      <c r="C44" s="13"/>
      <c r="D44" s="8">
        <f t="shared" si="2"/>
        <v>0</v>
      </c>
    </row>
    <row r="45" spans="1:4" ht="12.75" hidden="1">
      <c r="A45" s="9" t="s">
        <v>16</v>
      </c>
      <c r="B45" s="13"/>
      <c r="C45" s="13"/>
      <c r="D45" s="8">
        <f t="shared" si="2"/>
        <v>0</v>
      </c>
    </row>
    <row r="46" spans="1:4" ht="12.75" hidden="1">
      <c r="A46" s="9" t="s">
        <v>17</v>
      </c>
      <c r="B46" s="13"/>
      <c r="C46" s="13"/>
      <c r="D46" s="8">
        <f t="shared" si="2"/>
        <v>0</v>
      </c>
    </row>
    <row r="47" spans="1:4" ht="12.75" hidden="1">
      <c r="A47" s="9" t="s">
        <v>18</v>
      </c>
      <c r="B47" s="13"/>
      <c r="C47" s="13"/>
      <c r="D47" s="8">
        <f t="shared" si="2"/>
        <v>0</v>
      </c>
    </row>
    <row r="48" spans="1:4" ht="12.75" hidden="1">
      <c r="A48" s="9" t="s">
        <v>19</v>
      </c>
      <c r="B48" s="8"/>
      <c r="C48" s="8"/>
      <c r="D48" s="8">
        <f>B48-C48</f>
        <v>0</v>
      </c>
    </row>
    <row r="49" spans="1:4" ht="12.75" hidden="1">
      <c r="A49" s="9" t="s">
        <v>20</v>
      </c>
      <c r="B49" s="13"/>
      <c r="C49" s="13"/>
      <c r="D49" s="8">
        <f>B49-C49</f>
        <v>0</v>
      </c>
    </row>
    <row r="50" spans="1:4" ht="12.75" hidden="1">
      <c r="A50" s="9" t="s">
        <v>21</v>
      </c>
      <c r="B50" s="13"/>
      <c r="C50" s="13"/>
      <c r="D50" s="13">
        <f>B50-C50</f>
        <v>0</v>
      </c>
    </row>
    <row r="51" spans="1:4" ht="12.75" hidden="1">
      <c r="A51" s="9" t="s">
        <v>22</v>
      </c>
      <c r="B51" s="13"/>
      <c r="C51" s="13"/>
      <c r="D51" s="13">
        <f>B51-C51</f>
        <v>0</v>
      </c>
    </row>
    <row r="52" spans="1:4" ht="12.75" hidden="1">
      <c r="A52" s="9" t="s">
        <v>23</v>
      </c>
      <c r="B52" s="13"/>
      <c r="C52" s="13"/>
      <c r="D52" s="13">
        <f>B52-C52</f>
        <v>0</v>
      </c>
    </row>
    <row r="53" spans="1:4" ht="12.75">
      <c r="A53" s="9" t="s">
        <v>26</v>
      </c>
      <c r="B53" s="8">
        <f>B11+B24</f>
        <v>1624327.3499999996</v>
      </c>
      <c r="C53" s="8">
        <f>C11+C24</f>
        <v>1617100.1800000002</v>
      </c>
      <c r="D53" s="8">
        <f>D11+D24</f>
        <v>7227.17000000001</v>
      </c>
    </row>
    <row r="55" spans="1:4" ht="12.75">
      <c r="A55" t="s">
        <v>27</v>
      </c>
      <c r="D55" s="12">
        <f>D53</f>
        <v>7227.17000000001</v>
      </c>
    </row>
    <row r="57" spans="1:4" ht="12.75">
      <c r="A57" s="11" t="s">
        <v>28</v>
      </c>
      <c r="D57" s="12">
        <f>D58+D59</f>
        <v>116736.732</v>
      </c>
    </row>
    <row r="58" spans="1:4" ht="12.75" hidden="1">
      <c r="A58" s="11" t="s">
        <v>29</v>
      </c>
      <c r="D58" s="12">
        <f>(1.33*4*D3)+(1.21*8*D3)</f>
        <v>97933.5</v>
      </c>
    </row>
    <row r="59" spans="1:4" ht="12.75" hidden="1">
      <c r="A59" s="11" t="s">
        <v>30</v>
      </c>
      <c r="D59" s="12">
        <f>(0.24*12*D3)</f>
        <v>18803.232</v>
      </c>
    </row>
    <row r="60" spans="1:4" ht="12.75" hidden="1">
      <c r="A60" s="11" t="s">
        <v>31</v>
      </c>
      <c r="D60" s="12">
        <v>0</v>
      </c>
    </row>
    <row r="61" spans="1:4" ht="12.75">
      <c r="A61" s="11" t="s">
        <v>77</v>
      </c>
      <c r="D61" s="12">
        <f>2654*0.22*4+(2654*2.5)</f>
        <v>8970.52</v>
      </c>
    </row>
    <row r="62" spans="1:4" ht="12.75">
      <c r="A62" s="11" t="s">
        <v>80</v>
      </c>
      <c r="D62" s="12">
        <f>(2.66*4*D3)+(2.42*8*D3)</f>
        <v>195867</v>
      </c>
    </row>
    <row r="63" spans="1:4" ht="12.75" hidden="1">
      <c r="A63" s="11" t="s">
        <v>32</v>
      </c>
      <c r="D63" s="12">
        <v>0</v>
      </c>
    </row>
    <row r="64" spans="1:4" ht="12.75">
      <c r="A64" s="11" t="s">
        <v>76</v>
      </c>
      <c r="D64" s="12">
        <f>(0.72*2*D3)</f>
        <v>9401.616</v>
      </c>
    </row>
    <row r="65" spans="1:4" ht="12.75">
      <c r="A65" s="11" t="s">
        <v>33</v>
      </c>
      <c r="D65" s="12">
        <f>(1.45*4*D3)+(1.32*8*D3)</f>
        <v>106812.80399999999</v>
      </c>
    </row>
    <row r="66" spans="1:4" ht="12.75">
      <c r="A66" s="11" t="s">
        <v>34</v>
      </c>
      <c r="D66" s="12">
        <f>(5.11*4*D3)+(4.51*8*D3)</f>
        <v>369013.42799999996</v>
      </c>
    </row>
    <row r="67" spans="1:4" ht="12.75">
      <c r="A67" s="11" t="s">
        <v>35</v>
      </c>
      <c r="D67" s="12">
        <f>(0.29*4*D3)+(0.26*8*D3)</f>
        <v>21153.636</v>
      </c>
    </row>
    <row r="68" spans="1:4" ht="12.75">
      <c r="A68" s="11" t="s">
        <v>78</v>
      </c>
      <c r="D68" s="12">
        <f>(3.87*4*D3)+(3.52*8*D3)</f>
        <v>284921.196</v>
      </c>
    </row>
    <row r="69" spans="1:4" ht="12.75">
      <c r="A69" s="11" t="s">
        <v>36</v>
      </c>
      <c r="D69" s="12">
        <f>2.25*12*D4</f>
        <v>3267</v>
      </c>
    </row>
    <row r="70" spans="1:4" ht="12.75">
      <c r="A70" s="11" t="s">
        <v>37</v>
      </c>
      <c r="D70" s="12">
        <v>368072</v>
      </c>
    </row>
    <row r="71" spans="1:4" ht="12.75">
      <c r="A71" s="11" t="s">
        <v>38</v>
      </c>
      <c r="D71" s="12">
        <f>(0.91*4*D3)+(0.83*8*D3)</f>
        <v>67117.09199999999</v>
      </c>
    </row>
    <row r="72" spans="1:4" ht="12.75" hidden="1">
      <c r="A72" s="14" t="s">
        <v>62</v>
      </c>
      <c r="D72" s="12">
        <v>0</v>
      </c>
    </row>
    <row r="73" spans="1:6" ht="12.75">
      <c r="A73" s="11"/>
      <c r="D73" s="12"/>
      <c r="F73" s="18"/>
    </row>
    <row r="74" spans="1:6" ht="12.75">
      <c r="A74" s="11" t="s">
        <v>39</v>
      </c>
      <c r="D74" s="12">
        <f>D57+D60+D61+D62+D63+D64+D65+D66+D67+D68+D69+D70+D71</f>
        <v>1551333.0239999997</v>
      </c>
      <c r="F74" s="18"/>
    </row>
    <row r="75" spans="1:4" ht="12.75">
      <c r="A75" s="11"/>
      <c r="D75" s="12"/>
    </row>
    <row r="76" spans="1:4" ht="12.75">
      <c r="A76" t="s">
        <v>65</v>
      </c>
      <c r="D76" s="12">
        <f>C53-D74</f>
        <v>65767.15600000042</v>
      </c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H76"/>
  <sheetViews>
    <sheetView zoomScalePageLayoutView="0" workbookViewId="0" topLeftCell="A1">
      <selection activeCell="D75" sqref="D75"/>
    </sheetView>
  </sheetViews>
  <sheetFormatPr defaultColWidth="9.140625" defaultRowHeight="12.75"/>
  <cols>
    <col min="1" max="1" width="15.421875" style="0" customWidth="1"/>
    <col min="2" max="2" width="14.8515625" style="0" customWidth="1"/>
    <col min="3" max="3" width="15.7109375" style="0" customWidth="1"/>
    <col min="4" max="4" width="15.140625" style="0" customWidth="1"/>
  </cols>
  <sheetData>
    <row r="1" spans="1:7" ht="12.75">
      <c r="A1" s="1" t="s">
        <v>0</v>
      </c>
      <c r="B1" s="2" t="s">
        <v>1</v>
      </c>
      <c r="C1" s="1" t="s">
        <v>56</v>
      </c>
      <c r="D1" s="1"/>
      <c r="E1" s="1" t="s">
        <v>2</v>
      </c>
      <c r="F1" s="3">
        <v>31</v>
      </c>
      <c r="G1">
        <v>2016</v>
      </c>
    </row>
    <row r="3" spans="1:5" ht="12.75">
      <c r="A3" t="s">
        <v>3</v>
      </c>
      <c r="D3" s="4">
        <v>5245.5</v>
      </c>
      <c r="E3" s="5" t="s">
        <v>40</v>
      </c>
    </row>
    <row r="4" spans="1:5" ht="12.75">
      <c r="A4" t="s">
        <v>4</v>
      </c>
      <c r="D4" s="4">
        <v>100</v>
      </c>
      <c r="E4" s="5"/>
    </row>
    <row r="5" spans="1:5" ht="12.75">
      <c r="A5" t="s">
        <v>5</v>
      </c>
      <c r="D5" s="4">
        <v>233</v>
      </c>
      <c r="E5" s="5" t="s">
        <v>6</v>
      </c>
    </row>
    <row r="6" spans="1:5" ht="12.75">
      <c r="A6" t="s">
        <v>7</v>
      </c>
      <c r="D6" s="4">
        <v>659.4</v>
      </c>
      <c r="E6" s="5" t="s">
        <v>40</v>
      </c>
    </row>
    <row r="7" spans="1:5" ht="12.75">
      <c r="A7" t="s">
        <v>8</v>
      </c>
      <c r="D7" s="4">
        <v>5718</v>
      </c>
      <c r="E7" s="5" t="s">
        <v>40</v>
      </c>
    </row>
    <row r="8" ht="12.75" hidden="1"/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1306972.4799999997</v>
      </c>
      <c r="C11" s="8">
        <f>SUM(C12:C23)</f>
        <v>1279834.8</v>
      </c>
      <c r="D11" s="8">
        <f>SUM(D12:D23)</f>
        <v>27137.68000000008</v>
      </c>
    </row>
    <row r="12" spans="1:4" ht="12.75">
      <c r="A12" s="9" t="s">
        <v>25</v>
      </c>
      <c r="B12" s="8">
        <f>105224.71+2311.96</f>
        <v>107536.67000000001</v>
      </c>
      <c r="C12" s="8">
        <v>95570.5</v>
      </c>
      <c r="D12" s="8">
        <f aca="true" t="shared" si="0" ref="D12:D23">B12-C12</f>
        <v>11966.170000000013</v>
      </c>
    </row>
    <row r="13" spans="1:4" ht="12.75">
      <c r="A13" s="9" t="s">
        <v>13</v>
      </c>
      <c r="B13" s="8">
        <v>105224.71</v>
      </c>
      <c r="C13" s="13">
        <v>104410.59</v>
      </c>
      <c r="D13" s="8">
        <f t="shared" si="0"/>
        <v>814.1200000000099</v>
      </c>
    </row>
    <row r="14" spans="1:4" ht="12.75">
      <c r="A14" s="9" t="s">
        <v>14</v>
      </c>
      <c r="B14" s="8">
        <v>105224.71</v>
      </c>
      <c r="C14" s="13">
        <v>99588.49</v>
      </c>
      <c r="D14" s="8">
        <f t="shared" si="0"/>
        <v>5636.220000000001</v>
      </c>
    </row>
    <row r="15" spans="1:4" ht="12.75">
      <c r="A15" s="9" t="s">
        <v>15</v>
      </c>
      <c r="B15" s="8">
        <v>105224.71</v>
      </c>
      <c r="C15" s="13">
        <v>96019.35</v>
      </c>
      <c r="D15" s="8">
        <f t="shared" si="0"/>
        <v>9205.36</v>
      </c>
    </row>
    <row r="16" spans="1:4" ht="12.75">
      <c r="A16" s="9" t="s">
        <v>16</v>
      </c>
      <c r="B16" s="8">
        <v>105224.71</v>
      </c>
      <c r="C16" s="13">
        <v>107437.66</v>
      </c>
      <c r="D16" s="8">
        <f t="shared" si="0"/>
        <v>-2212.949999999997</v>
      </c>
    </row>
    <row r="17" spans="1:4" ht="12.75">
      <c r="A17" s="9" t="s">
        <v>17</v>
      </c>
      <c r="B17" s="8">
        <v>105224.71</v>
      </c>
      <c r="C17" s="13">
        <v>100122.2</v>
      </c>
      <c r="D17" s="8">
        <f t="shared" si="0"/>
        <v>5102.510000000009</v>
      </c>
    </row>
    <row r="18" spans="1:4" ht="12.75">
      <c r="A18" s="9" t="s">
        <v>18</v>
      </c>
      <c r="B18" s="8">
        <v>105224.71</v>
      </c>
      <c r="C18" s="13">
        <v>117240.24</v>
      </c>
      <c r="D18" s="8">
        <f t="shared" si="0"/>
        <v>-12015.529999999999</v>
      </c>
    </row>
    <row r="19" spans="1:4" ht="12.75">
      <c r="A19" s="9" t="s">
        <v>19</v>
      </c>
      <c r="B19" s="8">
        <v>105224.71</v>
      </c>
      <c r="C19" s="13">
        <v>106868.48</v>
      </c>
      <c r="D19" s="8">
        <f t="shared" si="0"/>
        <v>-1643.7699999999895</v>
      </c>
    </row>
    <row r="20" spans="1:4" ht="12.75">
      <c r="A20" s="9" t="s">
        <v>20</v>
      </c>
      <c r="B20" s="13">
        <v>115715.71</v>
      </c>
      <c r="C20" s="13">
        <v>118990.65</v>
      </c>
      <c r="D20" s="8">
        <f t="shared" si="0"/>
        <v>-3274.939999999988</v>
      </c>
    </row>
    <row r="21" spans="1:4" ht="12.75">
      <c r="A21" s="9" t="s">
        <v>21</v>
      </c>
      <c r="B21" s="13">
        <v>115715.71</v>
      </c>
      <c r="C21" s="13">
        <v>108323.3</v>
      </c>
      <c r="D21" s="13">
        <f t="shared" si="0"/>
        <v>7392.4100000000035</v>
      </c>
    </row>
    <row r="22" spans="1:4" ht="12.75">
      <c r="A22" s="9" t="s">
        <v>22</v>
      </c>
      <c r="B22" s="13">
        <v>115715.71</v>
      </c>
      <c r="C22" s="13">
        <v>109882.8</v>
      </c>
      <c r="D22" s="13">
        <f t="shared" si="0"/>
        <v>5832.9100000000035</v>
      </c>
    </row>
    <row r="23" spans="1:4" ht="12.75">
      <c r="A23" s="9" t="s">
        <v>23</v>
      </c>
      <c r="B23" s="13">
        <v>115715.71</v>
      </c>
      <c r="C23" s="13">
        <v>115380.54</v>
      </c>
      <c r="D23" s="13">
        <f t="shared" si="0"/>
        <v>335.1700000000128</v>
      </c>
    </row>
    <row r="24" spans="1:4" ht="12.75">
      <c r="A24" s="7" t="s">
        <v>24</v>
      </c>
      <c r="B24" s="8">
        <f>SUM(B25:B36)</f>
        <v>363.23999999999995</v>
      </c>
      <c r="C24" s="8">
        <f>SUM(C25:C36)</f>
        <v>340.71999999999997</v>
      </c>
      <c r="D24" s="8">
        <f>SUM(D25:D36)</f>
        <v>22.52</v>
      </c>
    </row>
    <row r="25" spans="1:4" ht="12.75">
      <c r="A25" s="9" t="s">
        <v>25</v>
      </c>
      <c r="B25" s="8">
        <v>30.27</v>
      </c>
      <c r="C25" s="8">
        <v>29.15</v>
      </c>
      <c r="D25" s="8">
        <f aca="true" t="shared" si="1" ref="D25:D36">B25-C25</f>
        <v>1.120000000000001</v>
      </c>
    </row>
    <row r="26" spans="1:4" ht="12.75">
      <c r="A26" s="9" t="s">
        <v>13</v>
      </c>
      <c r="B26" s="8">
        <v>30.27</v>
      </c>
      <c r="C26" s="13">
        <v>39.04</v>
      </c>
      <c r="D26" s="8">
        <f t="shared" si="1"/>
        <v>-8.77</v>
      </c>
    </row>
    <row r="27" spans="1:4" ht="12.75">
      <c r="A27" s="9" t="s">
        <v>14</v>
      </c>
      <c r="B27" s="8">
        <v>30.27</v>
      </c>
      <c r="C27" s="13">
        <v>28.3</v>
      </c>
      <c r="D27" s="8">
        <f t="shared" si="1"/>
        <v>1.9699999999999989</v>
      </c>
    </row>
    <row r="28" spans="1:4" ht="12.75">
      <c r="A28" s="9" t="s">
        <v>15</v>
      </c>
      <c r="B28" s="8">
        <v>30.27</v>
      </c>
      <c r="C28" s="13">
        <v>29</v>
      </c>
      <c r="D28" s="8">
        <f t="shared" si="1"/>
        <v>1.2699999999999996</v>
      </c>
    </row>
    <row r="29" spans="1:4" ht="12.75">
      <c r="A29" s="9" t="s">
        <v>16</v>
      </c>
      <c r="B29" s="8">
        <v>30.27</v>
      </c>
      <c r="C29" s="13">
        <v>25.29</v>
      </c>
      <c r="D29" s="8">
        <f t="shared" si="1"/>
        <v>4.98</v>
      </c>
    </row>
    <row r="30" spans="1:4" ht="12.75">
      <c r="A30" s="9" t="s">
        <v>17</v>
      </c>
      <c r="B30" s="8">
        <v>30.27</v>
      </c>
      <c r="C30" s="13">
        <v>31.3</v>
      </c>
      <c r="D30" s="8">
        <f t="shared" si="1"/>
        <v>-1.0300000000000011</v>
      </c>
    </row>
    <row r="31" spans="1:4" ht="12.75">
      <c r="A31" s="9" t="s">
        <v>18</v>
      </c>
      <c r="B31" s="8">
        <v>30.27</v>
      </c>
      <c r="C31" s="13">
        <v>28.31</v>
      </c>
      <c r="D31" s="8">
        <f t="shared" si="1"/>
        <v>1.9600000000000009</v>
      </c>
    </row>
    <row r="32" spans="1:4" ht="12.75">
      <c r="A32" s="9" t="s">
        <v>19</v>
      </c>
      <c r="B32" s="8">
        <v>30.27</v>
      </c>
      <c r="C32" s="13">
        <v>25.36</v>
      </c>
      <c r="D32" s="8">
        <f t="shared" si="1"/>
        <v>4.91</v>
      </c>
    </row>
    <row r="33" spans="1:4" ht="12.75">
      <c r="A33" s="9" t="s">
        <v>20</v>
      </c>
      <c r="B33" s="8">
        <v>30.27</v>
      </c>
      <c r="C33" s="13">
        <v>24.9</v>
      </c>
      <c r="D33" s="8">
        <f t="shared" si="1"/>
        <v>5.370000000000001</v>
      </c>
    </row>
    <row r="34" spans="1:4" ht="12.75">
      <c r="A34" s="9" t="s">
        <v>21</v>
      </c>
      <c r="B34" s="8">
        <v>30.27</v>
      </c>
      <c r="C34" s="13">
        <v>30.71</v>
      </c>
      <c r="D34" s="13">
        <f t="shared" si="1"/>
        <v>-0.4400000000000013</v>
      </c>
    </row>
    <row r="35" spans="1:4" ht="12.75">
      <c r="A35" s="9" t="s">
        <v>22</v>
      </c>
      <c r="B35" s="8">
        <v>30.27</v>
      </c>
      <c r="C35" s="13">
        <v>28.37</v>
      </c>
      <c r="D35" s="13">
        <f t="shared" si="1"/>
        <v>1.8999999999999986</v>
      </c>
    </row>
    <row r="36" spans="1:4" ht="12.75">
      <c r="A36" s="9" t="s">
        <v>23</v>
      </c>
      <c r="B36" s="8">
        <v>30.27</v>
      </c>
      <c r="C36" s="13">
        <v>20.99</v>
      </c>
      <c r="D36" s="13">
        <f t="shared" si="1"/>
        <v>9.280000000000001</v>
      </c>
    </row>
    <row r="37" spans="1:4" ht="12.75" hidden="1">
      <c r="A37" s="7" t="s">
        <v>41</v>
      </c>
      <c r="B37" s="13">
        <f>B38+B39</f>
        <v>0</v>
      </c>
      <c r="C37" s="13">
        <v>0</v>
      </c>
      <c r="D37" s="13">
        <f>SUM(D38:D39)</f>
        <v>0</v>
      </c>
    </row>
    <row r="38" spans="1:4" ht="12.75" hidden="1">
      <c r="A38" s="9" t="s">
        <v>22</v>
      </c>
      <c r="B38" s="13">
        <v>0</v>
      </c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81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18</v>
      </c>
      <c r="B41" s="8"/>
      <c r="C41" s="8"/>
      <c r="D41" s="8">
        <f>B41-C41</f>
        <v>0</v>
      </c>
    </row>
    <row r="42" spans="1:4" ht="12.75" hidden="1">
      <c r="A42" s="9" t="s">
        <v>19</v>
      </c>
      <c r="B42" s="13"/>
      <c r="C42" s="13"/>
      <c r="D42" s="8">
        <f>B42-C42</f>
        <v>0</v>
      </c>
    </row>
    <row r="43" spans="1:4" ht="12.75" hidden="1">
      <c r="A43" s="9" t="s">
        <v>20</v>
      </c>
      <c r="B43" s="13"/>
      <c r="C43" s="13"/>
      <c r="D43" s="13">
        <f>B43-C43</f>
        <v>0</v>
      </c>
    </row>
    <row r="44" spans="1:4" ht="12.75" hidden="1">
      <c r="A44" s="9" t="s">
        <v>21</v>
      </c>
      <c r="B44" s="13"/>
      <c r="C44" s="13"/>
      <c r="D44" s="13">
        <f>B44-C44</f>
        <v>0</v>
      </c>
    </row>
    <row r="45" spans="1:4" ht="12.75" hidden="1">
      <c r="A45" s="9" t="s">
        <v>22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1307335.7199999997</v>
      </c>
      <c r="C46" s="8">
        <f>C11+C24</f>
        <v>1280175.52</v>
      </c>
      <c r="D46" s="8">
        <f>D11+D24</f>
        <v>27160.20000000008</v>
      </c>
    </row>
    <row r="48" spans="1:4" ht="12.75">
      <c r="A48" t="s">
        <v>27</v>
      </c>
      <c r="D48" s="12">
        <f>D46</f>
        <v>27160.20000000008</v>
      </c>
    </row>
    <row r="50" spans="1:4" ht="12.75">
      <c r="A50" s="11" t="s">
        <v>28</v>
      </c>
      <c r="D50" s="12">
        <f>D51+D52</f>
        <v>93789.54</v>
      </c>
    </row>
    <row r="51" spans="1:4" ht="12.75" hidden="1">
      <c r="A51" s="11" t="s">
        <v>29</v>
      </c>
      <c r="D51" s="12">
        <f>(1.33*4*D3)+(1.21*8*D3)</f>
        <v>78682.5</v>
      </c>
    </row>
    <row r="52" spans="1:4" ht="12.75" hidden="1">
      <c r="A52" s="11" t="s">
        <v>30</v>
      </c>
      <c r="D52" s="12">
        <f>(0.24*12*D3)</f>
        <v>15107.039999999999</v>
      </c>
    </row>
    <row r="53" spans="1:4" ht="12.75" hidden="1">
      <c r="A53" s="11" t="s">
        <v>31</v>
      </c>
      <c r="D53" s="12">
        <v>0</v>
      </c>
    </row>
    <row r="54" spans="1:4" ht="12.75">
      <c r="A54" s="11" t="s">
        <v>77</v>
      </c>
      <c r="D54" s="12">
        <f>1565*0.22*4+(1565*2.5)</f>
        <v>5289.7</v>
      </c>
    </row>
    <row r="55" spans="1:4" ht="12.75">
      <c r="A55" s="11" t="s">
        <v>80</v>
      </c>
      <c r="D55" s="12">
        <f>(2.66*4*D3)+(2.42*8*D3)</f>
        <v>157365</v>
      </c>
    </row>
    <row r="56" spans="1:4" ht="12.75" hidden="1">
      <c r="A56" s="11" t="s">
        <v>32</v>
      </c>
      <c r="D56" s="12">
        <v>0</v>
      </c>
    </row>
    <row r="57" spans="1:4" ht="12.75">
      <c r="A57" s="11" t="s">
        <v>76</v>
      </c>
      <c r="D57" s="12">
        <f>(0.72*2*D3)</f>
        <v>7553.5199999999995</v>
      </c>
    </row>
    <row r="58" spans="1:4" ht="12.75">
      <c r="A58" s="11" t="s">
        <v>33</v>
      </c>
      <c r="D58" s="12">
        <f>(1.45*4*D3)+(1.32*8*D3)</f>
        <v>85816.38</v>
      </c>
    </row>
    <row r="59" spans="1:4" ht="12.75">
      <c r="A59" s="11" t="s">
        <v>34</v>
      </c>
      <c r="D59" s="12">
        <f>(5.11*4*D3)+(4.51*8*D3)</f>
        <v>296475.66</v>
      </c>
    </row>
    <row r="60" spans="1:4" ht="12.75">
      <c r="A60" s="11" t="s">
        <v>35</v>
      </c>
      <c r="D60" s="12">
        <f>(0.29*4*D3)+(0.26*8*D3)</f>
        <v>16995.420000000002</v>
      </c>
    </row>
    <row r="61" spans="1:4" ht="12.75">
      <c r="A61" s="11" t="s">
        <v>78</v>
      </c>
      <c r="D61" s="12">
        <f>(3.87*4*D3)+(3.52*8*D3)</f>
        <v>228913.62</v>
      </c>
    </row>
    <row r="62" spans="1:4" ht="12.75">
      <c r="A62" s="11" t="s">
        <v>36</v>
      </c>
      <c r="D62" s="12">
        <f>2.25*12*D4</f>
        <v>2700</v>
      </c>
    </row>
    <row r="63" spans="1:4" ht="12.75">
      <c r="A63" s="11" t="s">
        <v>37</v>
      </c>
      <c r="D63" s="12">
        <v>64813</v>
      </c>
    </row>
    <row r="64" spans="1:4" ht="12.75">
      <c r="A64" s="11" t="s">
        <v>38</v>
      </c>
      <c r="D64" s="12">
        <f>(0.91*4*D3)+(0.83*8*D3)</f>
        <v>53923.73999999999</v>
      </c>
    </row>
    <row r="65" spans="1:4" ht="12.75" hidden="1">
      <c r="A65" s="14" t="s">
        <v>62</v>
      </c>
      <c r="D65" s="12">
        <v>0</v>
      </c>
    </row>
    <row r="66" spans="1:4" ht="12.75">
      <c r="A66" s="11"/>
      <c r="D66" s="12"/>
    </row>
    <row r="67" spans="1:4" ht="12.75">
      <c r="A67" s="11" t="s">
        <v>39</v>
      </c>
      <c r="D67" s="12">
        <f>D50+D53+D54+D55+D56+D57+D58+D59+D60+D61+D62+D63+D64</f>
        <v>1013635.5800000001</v>
      </c>
    </row>
    <row r="68" spans="1:4" ht="12.75">
      <c r="A68" s="11"/>
      <c r="D68" s="12"/>
    </row>
    <row r="69" spans="1:8" ht="12.75">
      <c r="A69" t="s">
        <v>65</v>
      </c>
      <c r="D69" s="12">
        <f>C46-D67</f>
        <v>266539.93999999994</v>
      </c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H74"/>
  <sheetViews>
    <sheetView zoomScalePageLayoutView="0" workbookViewId="0" topLeftCell="A1">
      <selection activeCell="A47" sqref="A47:IV47"/>
    </sheetView>
  </sheetViews>
  <sheetFormatPr defaultColWidth="9.140625" defaultRowHeight="12.75"/>
  <cols>
    <col min="1" max="1" width="16.00390625" style="0" customWidth="1"/>
    <col min="2" max="2" width="13.8515625" style="0" customWidth="1"/>
    <col min="3" max="3" width="15.00390625" style="0" customWidth="1"/>
    <col min="4" max="4" width="15.421875" style="0" customWidth="1"/>
  </cols>
  <sheetData>
    <row r="1" spans="1:7" ht="12.75">
      <c r="A1" s="1" t="s">
        <v>0</v>
      </c>
      <c r="B1" s="2" t="s">
        <v>1</v>
      </c>
      <c r="C1" s="1" t="s">
        <v>47</v>
      </c>
      <c r="D1" s="1"/>
      <c r="E1" s="1" t="s">
        <v>2</v>
      </c>
      <c r="F1" s="3">
        <v>12</v>
      </c>
      <c r="G1">
        <v>2016</v>
      </c>
    </row>
    <row r="3" spans="1:5" ht="12.75">
      <c r="A3" t="s">
        <v>3</v>
      </c>
      <c r="D3" s="4">
        <v>4256.7</v>
      </c>
      <c r="E3" s="5" t="s">
        <v>40</v>
      </c>
    </row>
    <row r="4" spans="1:5" ht="12.75">
      <c r="A4" t="s">
        <v>4</v>
      </c>
      <c r="D4" s="4">
        <v>82</v>
      </c>
      <c r="E4" s="5"/>
    </row>
    <row r="5" spans="1:5" ht="12.75">
      <c r="A5" t="s">
        <v>5</v>
      </c>
      <c r="D5" s="4">
        <v>179</v>
      </c>
      <c r="E5" s="5" t="s">
        <v>6</v>
      </c>
    </row>
    <row r="6" spans="1:5" ht="12.75">
      <c r="A6" t="s">
        <v>7</v>
      </c>
      <c r="D6" s="4">
        <v>501.6</v>
      </c>
      <c r="E6" s="5" t="s">
        <v>40</v>
      </c>
    </row>
    <row r="7" spans="1:5" ht="12.75">
      <c r="A7" t="s">
        <v>8</v>
      </c>
      <c r="D7" s="4">
        <v>2091</v>
      </c>
      <c r="E7" s="5" t="s">
        <v>40</v>
      </c>
    </row>
    <row r="8" ht="12.75" hidden="1"/>
    <row r="9" ht="12.75" hidden="1"/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1059316.5600000003</v>
      </c>
      <c r="C11" s="8">
        <f>SUM(C12:C23)</f>
        <v>1034800.6499999999</v>
      </c>
      <c r="D11" s="8">
        <f>SUM(D12:D23)</f>
        <v>24515.90999999999</v>
      </c>
    </row>
    <row r="12" spans="1:4" ht="12.75">
      <c r="A12" s="9" t="s">
        <v>25</v>
      </c>
      <c r="B12" s="8">
        <v>85431.53</v>
      </c>
      <c r="C12" s="8">
        <v>73970.2</v>
      </c>
      <c r="D12" s="8">
        <f aca="true" t="shared" si="0" ref="D12:D23">B12-C12</f>
        <v>11461.330000000002</v>
      </c>
    </row>
    <row r="13" spans="1:4" ht="12.75">
      <c r="A13" s="9" t="s">
        <v>13</v>
      </c>
      <c r="B13" s="8">
        <v>85431.53</v>
      </c>
      <c r="C13" s="13">
        <v>114574.99</v>
      </c>
      <c r="D13" s="8">
        <f t="shared" si="0"/>
        <v>-29143.460000000006</v>
      </c>
    </row>
    <row r="14" spans="1:4" ht="12.75">
      <c r="A14" s="9" t="s">
        <v>14</v>
      </c>
      <c r="B14" s="8">
        <v>85431.53</v>
      </c>
      <c r="C14" s="13">
        <v>80807.2</v>
      </c>
      <c r="D14" s="8">
        <f t="shared" si="0"/>
        <v>4624.330000000002</v>
      </c>
    </row>
    <row r="15" spans="1:4" ht="12.75">
      <c r="A15" s="9" t="s">
        <v>15</v>
      </c>
      <c r="B15" s="8">
        <v>85441.56</v>
      </c>
      <c r="C15" s="13">
        <v>75971.67</v>
      </c>
      <c r="D15" s="8">
        <f t="shared" si="0"/>
        <v>9469.89</v>
      </c>
    </row>
    <row r="16" spans="1:4" ht="12.75">
      <c r="A16" s="9" t="s">
        <v>16</v>
      </c>
      <c r="B16" s="8">
        <v>85441.56</v>
      </c>
      <c r="C16" s="13">
        <v>84178.99</v>
      </c>
      <c r="D16" s="8">
        <f t="shared" si="0"/>
        <v>1262.5699999999924</v>
      </c>
    </row>
    <row r="17" spans="1:4" ht="12.75">
      <c r="A17" s="9" t="s">
        <v>17</v>
      </c>
      <c r="B17" s="8">
        <v>85441.56</v>
      </c>
      <c r="C17" s="13">
        <v>75823.3</v>
      </c>
      <c r="D17" s="8">
        <f t="shared" si="0"/>
        <v>9618.259999999995</v>
      </c>
    </row>
    <row r="18" spans="1:4" ht="12.75">
      <c r="A18" s="9" t="s">
        <v>18</v>
      </c>
      <c r="B18" s="8">
        <v>85441.56</v>
      </c>
      <c r="C18" s="13">
        <v>75179.76</v>
      </c>
      <c r="D18" s="8">
        <f t="shared" si="0"/>
        <v>10261.800000000003</v>
      </c>
    </row>
    <row r="19" spans="1:4" ht="12.75">
      <c r="A19" s="9" t="s">
        <v>19</v>
      </c>
      <c r="B19" s="8">
        <v>85441.56</v>
      </c>
      <c r="C19" s="13">
        <v>82693.45</v>
      </c>
      <c r="D19" s="8">
        <f t="shared" si="0"/>
        <v>2748.1100000000006</v>
      </c>
    </row>
    <row r="20" spans="1:4" ht="12.75">
      <c r="A20" s="9" t="s">
        <v>20</v>
      </c>
      <c r="B20" s="13">
        <v>93953.55</v>
      </c>
      <c r="C20" s="13">
        <v>83441.88</v>
      </c>
      <c r="D20" s="8">
        <f t="shared" si="0"/>
        <v>10511.669999999998</v>
      </c>
    </row>
    <row r="21" spans="1:4" ht="12.75">
      <c r="A21" s="9" t="s">
        <v>21</v>
      </c>
      <c r="B21" s="13">
        <v>93953.55</v>
      </c>
      <c r="C21" s="13">
        <v>96636.91</v>
      </c>
      <c r="D21" s="13">
        <f t="shared" si="0"/>
        <v>-2683.3600000000006</v>
      </c>
    </row>
    <row r="22" spans="1:4" ht="12.75">
      <c r="A22" s="9" t="s">
        <v>22</v>
      </c>
      <c r="B22" s="13">
        <v>93953.55</v>
      </c>
      <c r="C22" s="13">
        <v>106161.83</v>
      </c>
      <c r="D22" s="13">
        <f t="shared" si="0"/>
        <v>-12208.279999999999</v>
      </c>
    </row>
    <row r="23" spans="1:4" ht="12.75">
      <c r="A23" s="9" t="s">
        <v>23</v>
      </c>
      <c r="B23" s="13">
        <v>93953.52</v>
      </c>
      <c r="C23" s="13">
        <v>85360.47</v>
      </c>
      <c r="D23" s="13">
        <f t="shared" si="0"/>
        <v>8593.050000000003</v>
      </c>
    </row>
    <row r="24" spans="1:4" ht="12.75">
      <c r="A24" s="7" t="s">
        <v>24</v>
      </c>
      <c r="B24" s="8">
        <f>SUM(B25:B36)</f>
        <v>498.72</v>
      </c>
      <c r="C24" s="8">
        <f>SUM(C25:C36)</f>
        <v>429.05</v>
      </c>
      <c r="D24" s="8">
        <f>SUM(D25:D36)</f>
        <v>69.67000000000002</v>
      </c>
    </row>
    <row r="25" spans="1:4" ht="12.75">
      <c r="A25" s="9" t="s">
        <v>25</v>
      </c>
      <c r="B25" s="8">
        <v>41.56</v>
      </c>
      <c r="C25" s="8">
        <v>30.82</v>
      </c>
      <c r="D25" s="8">
        <f aca="true" t="shared" si="1" ref="D25:D32">B25-C25</f>
        <v>10.740000000000002</v>
      </c>
    </row>
    <row r="26" spans="1:4" ht="12.75">
      <c r="A26" s="9" t="s">
        <v>13</v>
      </c>
      <c r="B26" s="8">
        <v>41.56</v>
      </c>
      <c r="C26" s="13">
        <v>39.77</v>
      </c>
      <c r="D26" s="8">
        <f t="shared" si="1"/>
        <v>1.7899999999999991</v>
      </c>
    </row>
    <row r="27" spans="1:4" ht="12.75">
      <c r="A27" s="9" t="s">
        <v>14</v>
      </c>
      <c r="B27" s="8">
        <v>41.56</v>
      </c>
      <c r="C27" s="13">
        <v>37.42</v>
      </c>
      <c r="D27" s="8">
        <f t="shared" si="1"/>
        <v>4.140000000000001</v>
      </c>
    </row>
    <row r="28" spans="1:4" ht="12.75">
      <c r="A28" s="9" t="s">
        <v>15</v>
      </c>
      <c r="B28" s="8">
        <v>41.56</v>
      </c>
      <c r="C28" s="13">
        <v>36.35</v>
      </c>
      <c r="D28" s="8">
        <f t="shared" si="1"/>
        <v>5.210000000000001</v>
      </c>
    </row>
    <row r="29" spans="1:4" ht="12.75">
      <c r="A29" s="9" t="s">
        <v>16</v>
      </c>
      <c r="B29" s="8">
        <v>41.56</v>
      </c>
      <c r="C29" s="13">
        <v>37.86</v>
      </c>
      <c r="D29" s="8">
        <f t="shared" si="1"/>
        <v>3.700000000000003</v>
      </c>
    </row>
    <row r="30" spans="1:4" ht="12.75">
      <c r="A30" s="9" t="s">
        <v>17</v>
      </c>
      <c r="B30" s="8">
        <v>41.56</v>
      </c>
      <c r="C30" s="13">
        <v>38.27</v>
      </c>
      <c r="D30" s="8">
        <f t="shared" si="1"/>
        <v>3.289999999999999</v>
      </c>
    </row>
    <row r="31" spans="1:4" ht="12.75">
      <c r="A31" s="9" t="s">
        <v>18</v>
      </c>
      <c r="B31" s="8">
        <v>41.56</v>
      </c>
      <c r="C31" s="13">
        <v>32.23</v>
      </c>
      <c r="D31" s="8">
        <f t="shared" si="1"/>
        <v>9.330000000000005</v>
      </c>
    </row>
    <row r="32" spans="1:4" ht="12.75">
      <c r="A32" s="9" t="s">
        <v>19</v>
      </c>
      <c r="B32" s="8">
        <v>41.56</v>
      </c>
      <c r="C32" s="13">
        <v>46.89</v>
      </c>
      <c r="D32" s="8">
        <f t="shared" si="1"/>
        <v>-5.329999999999998</v>
      </c>
    </row>
    <row r="33" spans="1:4" ht="12.75">
      <c r="A33" s="9" t="s">
        <v>20</v>
      </c>
      <c r="B33" s="8">
        <v>41.56</v>
      </c>
      <c r="C33" s="13">
        <v>32.13</v>
      </c>
      <c r="D33" s="8">
        <f>B33-C33</f>
        <v>9.43</v>
      </c>
    </row>
    <row r="34" spans="1:4" ht="12.75">
      <c r="A34" s="9" t="s">
        <v>21</v>
      </c>
      <c r="B34" s="8">
        <v>41.56</v>
      </c>
      <c r="C34" s="13">
        <v>41.81</v>
      </c>
      <c r="D34" s="13">
        <f>B34-C34</f>
        <v>-0.25</v>
      </c>
    </row>
    <row r="35" spans="1:4" ht="12.75">
      <c r="A35" s="9" t="s">
        <v>22</v>
      </c>
      <c r="B35" s="8">
        <v>41.56</v>
      </c>
      <c r="C35" s="13">
        <v>34.09</v>
      </c>
      <c r="D35" s="13">
        <f>B35-C35</f>
        <v>7.469999999999999</v>
      </c>
    </row>
    <row r="36" spans="1:4" ht="12.75">
      <c r="A36" s="9" t="s">
        <v>23</v>
      </c>
      <c r="B36" s="8">
        <v>41.56</v>
      </c>
      <c r="C36" s="13">
        <v>21.41</v>
      </c>
      <c r="D36" s="13">
        <f>B36-C36</f>
        <v>20.150000000000002</v>
      </c>
    </row>
    <row r="37" spans="1:4" ht="12.75">
      <c r="A37" s="9" t="s">
        <v>26</v>
      </c>
      <c r="B37" s="8">
        <f>B11+B24</f>
        <v>1059815.2800000003</v>
      </c>
      <c r="C37" s="8">
        <f>C11+C24</f>
        <v>1035229.7</v>
      </c>
      <c r="D37" s="8">
        <f>D11+D24</f>
        <v>24585.579999999987</v>
      </c>
    </row>
    <row r="39" spans="1:4" ht="12.75">
      <c r="A39" t="s">
        <v>27</v>
      </c>
      <c r="D39" s="12">
        <f>D37</f>
        <v>24585.579999999987</v>
      </c>
    </row>
    <row r="41" spans="1:4" ht="12.75">
      <c r="A41" s="11" t="s">
        <v>28</v>
      </c>
      <c r="D41" s="12">
        <f>D42+D43</f>
        <v>76109.796</v>
      </c>
    </row>
    <row r="42" spans="1:4" ht="12.75" hidden="1">
      <c r="A42" s="11" t="s">
        <v>29</v>
      </c>
      <c r="D42" s="12">
        <f>(1.33*4*D3)+(1.21*8*D3)</f>
        <v>63850.5</v>
      </c>
    </row>
    <row r="43" spans="1:4" ht="12.75" hidden="1">
      <c r="A43" s="11" t="s">
        <v>30</v>
      </c>
      <c r="D43" s="12">
        <f>(0.24*12*D3)</f>
        <v>12259.295999999998</v>
      </c>
    </row>
    <row r="44" spans="1:4" ht="12.75" hidden="1">
      <c r="A44" s="11" t="s">
        <v>31</v>
      </c>
      <c r="D44" s="12">
        <v>0</v>
      </c>
    </row>
    <row r="45" spans="1:4" ht="12.75">
      <c r="A45" s="11" t="s">
        <v>77</v>
      </c>
      <c r="D45" s="12">
        <f>1710*0.22*4+(1710*2.5)</f>
        <v>5779.8</v>
      </c>
    </row>
    <row r="46" spans="1:4" ht="12.75">
      <c r="A46" s="11" t="s">
        <v>80</v>
      </c>
      <c r="D46" s="12">
        <f>(2.66*4*D3)+(2.42*8*D3)</f>
        <v>127701</v>
      </c>
    </row>
    <row r="47" spans="1:4" ht="12.75" hidden="1">
      <c r="A47" s="11" t="s">
        <v>32</v>
      </c>
      <c r="D47" s="12">
        <v>0</v>
      </c>
    </row>
    <row r="48" spans="1:4" ht="12.75">
      <c r="A48" s="11" t="s">
        <v>76</v>
      </c>
      <c r="D48" s="12">
        <f>(0.72*2*D3)</f>
        <v>6129.647999999999</v>
      </c>
    </row>
    <row r="49" spans="1:4" ht="12.75">
      <c r="A49" s="11" t="s">
        <v>33</v>
      </c>
      <c r="D49" s="12">
        <f>(1.45*4*D3)+(1.32*8*D3)</f>
        <v>69639.612</v>
      </c>
    </row>
    <row r="50" spans="1:4" ht="12.75">
      <c r="A50" s="11" t="s">
        <v>34</v>
      </c>
      <c r="D50" s="12">
        <f>(5.11*4*D3)+(4.51*8*D3)</f>
        <v>240588.68399999998</v>
      </c>
    </row>
    <row r="51" spans="1:4" ht="12.75">
      <c r="A51" s="11" t="s">
        <v>35</v>
      </c>
      <c r="D51" s="12">
        <f>(0.29*4*D3)+(0.26*8*D3)</f>
        <v>13791.707999999999</v>
      </c>
    </row>
    <row r="52" spans="1:4" ht="12.75">
      <c r="A52" s="11" t="s">
        <v>78</v>
      </c>
      <c r="D52" s="12">
        <f>(3.87*4*D3)+(3.52*8*D3)</f>
        <v>185762.38799999998</v>
      </c>
    </row>
    <row r="53" spans="1:4" ht="12.75">
      <c r="A53" s="11" t="s">
        <v>36</v>
      </c>
      <c r="D53" s="12">
        <f>2.25*12*D4</f>
        <v>2214</v>
      </c>
    </row>
    <row r="54" spans="1:4" ht="12.75">
      <c r="A54" s="11" t="s">
        <v>37</v>
      </c>
      <c r="D54" s="12">
        <v>85423</v>
      </c>
    </row>
    <row r="55" spans="1:4" ht="12.75">
      <c r="A55" s="11" t="s">
        <v>38</v>
      </c>
      <c r="D55" s="12">
        <f>(0.91*4*D3)+(0.83*8*D3)</f>
        <v>43758.876</v>
      </c>
    </row>
    <row r="56" spans="1:4" ht="12.75" hidden="1">
      <c r="A56" s="14" t="s">
        <v>62</v>
      </c>
      <c r="D56" s="12">
        <v>0</v>
      </c>
    </row>
    <row r="57" spans="1:4" ht="12.75">
      <c r="A57" s="11"/>
      <c r="D57" s="12"/>
    </row>
    <row r="58" spans="1:4" ht="12.75">
      <c r="A58" s="11" t="s">
        <v>39</v>
      </c>
      <c r="D58" s="12">
        <f>D41+D44+D45+D46+D47+D48+D49+D50+D51+D52+D53+D54+D55</f>
        <v>856898.512</v>
      </c>
    </row>
    <row r="59" spans="1:4" ht="12.75">
      <c r="A59" s="11"/>
      <c r="D59" s="12"/>
    </row>
    <row r="60" spans="1:4" ht="12.75">
      <c r="A60" t="s">
        <v>65</v>
      </c>
      <c r="D60" s="12">
        <f>C37-D58</f>
        <v>178331.18799999997</v>
      </c>
    </row>
    <row r="65" ht="12.75">
      <c r="H65" s="22"/>
    </row>
    <row r="66" ht="12.75">
      <c r="H66" s="22"/>
    </row>
    <row r="67" ht="14.25" customHeight="1">
      <c r="H67" s="22"/>
    </row>
    <row r="68" ht="12.75">
      <c r="H68" s="22"/>
    </row>
    <row r="69" ht="12.75" hidden="1"/>
    <row r="70" ht="12.75" hidden="1"/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 hidden="1"/>
    <row r="83" ht="12.75" hidden="1"/>
    <row r="84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2017-03-13T08:07:43Z</cp:lastPrinted>
  <dcterms:created xsi:type="dcterms:W3CDTF">1996-10-08T23:32:33Z</dcterms:created>
  <dcterms:modified xsi:type="dcterms:W3CDTF">2017-04-04T10:02:41Z</dcterms:modified>
  <cp:category/>
  <cp:version/>
  <cp:contentType/>
  <cp:contentStatus/>
</cp:coreProperties>
</file>