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4" activeTab="0"/>
  </bookViews>
  <sheets>
    <sheet name="Гагарина 11" sheetId="1" r:id="rId1"/>
    <sheet name="Гагарина 13" sheetId="2" r:id="rId2"/>
    <sheet name="Гагарина 2а" sheetId="3" r:id="rId3"/>
    <sheet name="Гагарина 2б" sheetId="4" r:id="rId4"/>
    <sheet name="Гагарина 2в" sheetId="5" r:id="rId5"/>
    <sheet name="Гагарина 2г" sheetId="6" r:id="rId6"/>
    <sheet name="Гагарина 9" sheetId="7" r:id="rId7"/>
    <sheet name="Гризодубовой 31" sheetId="8" r:id="rId8"/>
    <sheet name="Дубовая роща 12" sheetId="9" r:id="rId9"/>
    <sheet name="коммун 6" sheetId="10" r:id="rId10"/>
    <sheet name="Коммунальная 6а" sheetId="11" r:id="rId11"/>
    <sheet name="Ленинская 5" sheetId="12" r:id="rId12"/>
    <sheet name="М.Расковой 23-4" sheetId="13" r:id="rId13"/>
    <sheet name="М.Расковой 32" sheetId="14" r:id="rId14"/>
    <sheet name="М.Расковой 34" sheetId="15" r:id="rId15"/>
    <sheet name="М.Расковой 34б" sheetId="16" r:id="rId16"/>
    <sheet name="Моторная 7" sheetId="17" r:id="rId17"/>
    <sheet name="Н.Стройка 10" sheetId="18" r:id="rId18"/>
    <sheet name="Н.Стройка 12" sheetId="19" r:id="rId19"/>
    <sheet name="Н.Стройка 14" sheetId="20" r:id="rId20"/>
    <sheet name="Н.Стройка 4" sheetId="21" r:id="rId21"/>
    <sheet name="Н.Стройка 8" sheetId="22" r:id="rId22"/>
    <sheet name="Осипенко 38" sheetId="23" r:id="rId23"/>
    <sheet name="Осипенко 40" sheetId="24" r:id="rId24"/>
    <sheet name="Осипенко 43" sheetId="25" r:id="rId25"/>
    <sheet name="сем 11" sheetId="26" r:id="rId26"/>
    <sheet name="Семашко 13" sheetId="27" r:id="rId27"/>
    <sheet name="Семашко 17" sheetId="28" r:id="rId28"/>
    <sheet name="Семашко 3" sheetId="29" r:id="rId29"/>
    <sheet name="Семашко 5" sheetId="30" r:id="rId30"/>
    <sheet name="Семашко 5а" sheetId="31" r:id="rId31"/>
    <sheet name="Семашко 7" sheetId="32" r:id="rId32"/>
    <sheet name="сем 9" sheetId="33" r:id="rId33"/>
    <sheet name="СХТ 3" sheetId="34" r:id="rId34"/>
    <sheet name="СХТ 4" sheetId="35" r:id="rId35"/>
    <sheet name="Хлебозаводская 120" sheetId="36" r:id="rId36"/>
    <sheet name="Хлебозаводская 134" sheetId="37" r:id="rId37"/>
    <sheet name="Хлебозаводская 136" sheetId="38" r:id="rId38"/>
    <sheet name="Школьная 33" sheetId="39" r:id="rId39"/>
    <sheet name="мол 1" sheetId="40" r:id="rId40"/>
    <sheet name="мол 2" sheetId="41" r:id="rId41"/>
    <sheet name="мол 3" sheetId="42" r:id="rId42"/>
    <sheet name="мол 4" sheetId="43" r:id="rId43"/>
    <sheet name="мол 5" sheetId="44" r:id="rId44"/>
    <sheet name="мол 6" sheetId="45" r:id="rId45"/>
    <sheet name="мол 7" sheetId="46" r:id="rId46"/>
  </sheets>
  <definedNames/>
  <calcPr fullCalcOnLoad="1"/>
</workbook>
</file>

<file path=xl/sharedStrings.xml><?xml version="1.0" encoding="utf-8"?>
<sst xmlns="http://schemas.openxmlformats.org/spreadsheetml/2006/main" count="3864" uniqueCount="166">
  <si>
    <t>г.Грязи</t>
  </si>
  <si>
    <t>ул.</t>
  </si>
  <si>
    <t>д.</t>
  </si>
  <si>
    <t>Общая площадь дома</t>
  </si>
  <si>
    <t>Число квартир</t>
  </si>
  <si>
    <t>Число проживающих</t>
  </si>
  <si>
    <t>чел.</t>
  </si>
  <si>
    <t>Площадь лестничных клеток</t>
  </si>
  <si>
    <t>Придомовая территория</t>
  </si>
  <si>
    <t>Начислено</t>
  </si>
  <si>
    <t>Оплачено</t>
  </si>
  <si>
    <t>Долг</t>
  </si>
  <si>
    <t>Содержание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</si>
  <si>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</si>
  <si>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</si>
  <si>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</si>
  <si>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</si>
  <si>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</si>
  <si>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</si>
  <si>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</si>
  <si>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</si>
  <si>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</si>
  <si>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</si>
  <si>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</si>
  <si>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Найм</t>
  </si>
  <si>
    <t>Январь</t>
  </si>
  <si>
    <t>ИТОГО</t>
  </si>
  <si>
    <t>Долг по дому составил</t>
  </si>
  <si>
    <t>Услуги АДС составили:</t>
  </si>
  <si>
    <t xml:space="preserve">     абонентская плата АДС составила:</t>
  </si>
  <si>
    <t xml:space="preserve">     обслуживание вент.каналов</t>
  </si>
  <si>
    <t>Обслуживание приборов учета</t>
  </si>
  <si>
    <t>Вывоз ТБО составил:</t>
  </si>
  <si>
    <t>Вывоз крупногабаритного мусора составил:</t>
  </si>
  <si>
    <t>Уборка лестничных клеток:</t>
  </si>
  <si>
    <t>Уборка дворовых территорий:</t>
  </si>
  <si>
    <t>Обслужив.внутридомовогогазов.оборуд.:</t>
  </si>
  <si>
    <t>Разноска квитанций:</t>
  </si>
  <si>
    <t>Текущий ремонт:</t>
  </si>
  <si>
    <t>Заявочный ремонт (сод.общедом.имущ.)</t>
  </si>
  <si>
    <t>ВСЕГО РАСХОДОВ</t>
  </si>
  <si>
    <r>
      <t>м</t>
    </r>
    <r>
      <rPr>
        <b/>
        <sz val="10"/>
        <rFont val="Arial Cyr"/>
        <family val="0"/>
      </rPr>
      <t>²</t>
    </r>
  </si>
  <si>
    <t>Установка ОДПУ ХВ</t>
  </si>
  <si>
    <t>Установка ОДПУ ГВ</t>
  </si>
  <si>
    <t>2012 год</t>
  </si>
  <si>
    <t>Гагарина</t>
  </si>
  <si>
    <t>2а</t>
  </si>
  <si>
    <t>2б</t>
  </si>
  <si>
    <t>2в</t>
  </si>
  <si>
    <t>Дубовая роща</t>
  </si>
  <si>
    <t>М.Расковой</t>
  </si>
  <si>
    <t>34б</t>
  </si>
  <si>
    <t>Моторная</t>
  </si>
  <si>
    <t>5а</t>
  </si>
  <si>
    <t xml:space="preserve">Осипенко </t>
  </si>
  <si>
    <t>Семашко</t>
  </si>
  <si>
    <t>Хлебозаводская</t>
  </si>
  <si>
    <t>2г</t>
  </si>
  <si>
    <t>Гризодубовой</t>
  </si>
  <si>
    <t>Н.Стройка</t>
  </si>
  <si>
    <t>Осипенко</t>
  </si>
  <si>
    <t>Коммунальная</t>
  </si>
  <si>
    <t>6а</t>
  </si>
  <si>
    <t>Ленинская</t>
  </si>
  <si>
    <t>РКЦ :</t>
  </si>
  <si>
    <t>Установка ОДПУ</t>
  </si>
  <si>
    <t>Молодежная</t>
  </si>
  <si>
    <t>Обслуживание лифтов</t>
  </si>
  <si>
    <t xml:space="preserve">Остаток: </t>
  </si>
  <si>
    <t xml:space="preserve">Остаток:  </t>
  </si>
  <si>
    <t>1,2*3</t>
  </si>
  <si>
    <t>1,2*2</t>
  </si>
  <si>
    <t>Остаток:</t>
  </si>
  <si>
    <t>Установка ОДПУ ТЭ</t>
  </si>
  <si>
    <t>23/4</t>
  </si>
  <si>
    <t>СХТ</t>
  </si>
  <si>
    <t>Отчет о проделанной работе по ООО "ГРСУ по обслуживанию жилого фонда"</t>
  </si>
  <si>
    <t>январь-март</t>
  </si>
  <si>
    <t>Школьная</t>
  </si>
  <si>
    <t>РКЦ ,паспортный стол:</t>
  </si>
  <si>
    <t>Выкашивание придворовых территорий:</t>
  </si>
  <si>
    <t>Дератизация, дезинсекция:</t>
  </si>
  <si>
    <t>РКЦ, паспортный стол:</t>
  </si>
  <si>
    <t>Итого:</t>
  </si>
  <si>
    <t>покраска малых форм</t>
  </si>
  <si>
    <t>поверка счетчика</t>
  </si>
  <si>
    <t>текущий ремонт</t>
  </si>
  <si>
    <t>ремонт кровли балкона</t>
  </si>
  <si>
    <t xml:space="preserve">ремонт кровли </t>
  </si>
  <si>
    <t>Уборка лестничных клеток и придомовой территории:</t>
  </si>
  <si>
    <t>Вывоз ТБО и КГМ составил:</t>
  </si>
  <si>
    <t>теплоизол. Труб (Ц/отоплен.)</t>
  </si>
  <si>
    <t>Услуги по договору</t>
  </si>
  <si>
    <t>остекление</t>
  </si>
  <si>
    <t>эл. Работы</t>
  </si>
  <si>
    <t>канализ</t>
  </si>
  <si>
    <t>чердак ц/о</t>
  </si>
  <si>
    <t>ц/о</t>
  </si>
  <si>
    <t>подв. Канализ</t>
  </si>
  <si>
    <t>ремонт кровли</t>
  </si>
  <si>
    <t>х/в</t>
  </si>
  <si>
    <t>смена канализ</t>
  </si>
  <si>
    <t>герметиз. Швов</t>
  </si>
  <si>
    <t>эл.работы</t>
  </si>
  <si>
    <t>кв 3 подв. Канализ</t>
  </si>
  <si>
    <t>ус-ка пандуса</t>
  </si>
  <si>
    <t>ус-ка прибора учета ХВС</t>
  </si>
  <si>
    <t>ус-во и покраска беседки и дверей</t>
  </si>
  <si>
    <t>изоляция труб</t>
  </si>
  <si>
    <t>кв 10 смена канализ</t>
  </si>
  <si>
    <t>ремонт прибора учета</t>
  </si>
  <si>
    <t>подвал канализ</t>
  </si>
  <si>
    <t>кв 26 ремонт кровли балкона</t>
  </si>
  <si>
    <t>ус-ка двер. На чердаке</t>
  </si>
  <si>
    <t>ремонт малых форм</t>
  </si>
  <si>
    <t>подвал канализация</t>
  </si>
  <si>
    <t xml:space="preserve"> подвал - изготовление катушек</t>
  </si>
  <si>
    <t>кв 14,17 смена канализ</t>
  </si>
  <si>
    <t>1 под. ц/о</t>
  </si>
  <si>
    <t>3 под. На черд. ц/о</t>
  </si>
  <si>
    <t>покраска малых форм, козырьков</t>
  </si>
  <si>
    <t>т/у смена источ. Питания</t>
  </si>
  <si>
    <t>кв 12 ц/о</t>
  </si>
  <si>
    <t>кв 2,5</t>
  </si>
  <si>
    <t>Отчет о проделанной работе по ООО "Грязинское РСУ"                                                 за период с 01.09.2012-31.12.2013</t>
  </si>
  <si>
    <t>Отчет о проделанной работе по ООО "Грязинское РСУ"                                                 за период с 01.09.2012-</t>
  </si>
  <si>
    <t>смена датчика темпер. На ОДН</t>
  </si>
  <si>
    <t>подв. Смена канализ.</t>
  </si>
  <si>
    <t>теплоиз. Труб в подв.</t>
  </si>
  <si>
    <t>проч. Канализ.</t>
  </si>
  <si>
    <t>проч. Канализ</t>
  </si>
  <si>
    <t>канализ.</t>
  </si>
  <si>
    <t>ремонт подъезда</t>
  </si>
  <si>
    <t>1 под. ц/отопл</t>
  </si>
  <si>
    <t>смена канализ.</t>
  </si>
  <si>
    <t>кв 62,63герметиз. Швов</t>
  </si>
  <si>
    <t>кв 1,17,33,64 герметиз. Швов</t>
  </si>
  <si>
    <t>кв 19,20 х/в</t>
  </si>
  <si>
    <t>за период с 01.07.2012-31.03.2014г.</t>
  </si>
  <si>
    <t>покраска скамеек</t>
  </si>
  <si>
    <t>ц/отопл</t>
  </si>
  <si>
    <t>остекл</t>
  </si>
  <si>
    <t>г/в и х/в</t>
  </si>
  <si>
    <t>кв 20,21 смена стояка х/в</t>
  </si>
  <si>
    <t>ремонт покр изол. Труб</t>
  </si>
  <si>
    <t>подв.ц/о</t>
  </si>
  <si>
    <t>ремонт, покр.малых форм</t>
  </si>
  <si>
    <t xml:space="preserve">Поверка ОДПУ </t>
  </si>
  <si>
    <t>Поверка ОДПУ</t>
  </si>
  <si>
    <t>покраска забора</t>
  </si>
  <si>
    <t>бетон. Стоек Качелей</t>
  </si>
  <si>
    <t>ремонт качелей</t>
  </si>
  <si>
    <t>ремонт отмостки,</t>
  </si>
  <si>
    <t>нет</t>
  </si>
  <si>
    <t>кв 75,76 ремонт мягк. Кровли</t>
  </si>
  <si>
    <t>бетонирование стоек Качелей</t>
  </si>
  <si>
    <t xml:space="preserve"> </t>
  </si>
  <si>
    <t>кв 1 проч. канализ</t>
  </si>
  <si>
    <t xml:space="preserve"> кв 71 герметиз. Швов</t>
  </si>
  <si>
    <t>подв проч. Канализ</t>
  </si>
  <si>
    <t>кв 1,4 заделка монтаж. Отверст.</t>
  </si>
  <si>
    <t>устан. Прибора ХВС</t>
  </si>
  <si>
    <t>нет подвала и чердака - нет дератизации</t>
  </si>
  <si>
    <t>ремонт отмостки</t>
  </si>
  <si>
    <t>х/в подвал</t>
  </si>
  <si>
    <t>сделала сама (заявки есть)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</si>
</sst>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.000"/>
    <numFmt numFmtId="183" formatCode="#,##0.00&quot;р.&quot;"/>
    <numFmt numFmtId="184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0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181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181" fontId="0" fillId="0" borderId="0" xfId="0" applyNumberFormat="1" applyAlignment="1">
      <alignment/>
    </xf>
    <xf numFmtId="181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81" fontId="0" fillId="0" borderId="0" xfId="0" applyNumberFormat="1" applyBorder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3:G75"/>
  <sheetViews>
    <sheetView tabSelected="1" zoomScalePageLayoutView="0" workbookViewId="0" topLeftCell="A1">
      <selection activeCell="I55" sqref="I55"/>
    </sheetView>
  </sheetViews>
  <sheetFormatPr defaultColWidth="9.140625" defaultRowHeight="12.75"/>
  <cols>
    <col min="1" max="1" width="19.57421875" style="0" customWidth="1"/>
    <col min="2" max="2" width="15.28125" style="0" customWidth="1"/>
    <col min="3" max="3" width="13.421875" style="0" customWidth="1"/>
    <col min="4" max="4" width="14.140625" style="0" customWidth="1"/>
  </cols>
  <sheetData>
    <row r="3" spans="1:7" ht="12.75">
      <c r="A3" s="1" t="s">
        <v>0</v>
      </c>
      <c r="B3" s="2" t="s">
        <v>1</v>
      </c>
      <c r="C3" s="1" t="s">
        <v>45</v>
      </c>
      <c r="D3" s="1"/>
      <c r="E3" s="1" t="s">
        <v>2</v>
      </c>
      <c r="F3" s="3">
        <v>11</v>
      </c>
      <c r="G3">
        <v>2015</v>
      </c>
    </row>
    <row r="5" spans="1:5" ht="12.75">
      <c r="A5" t="s">
        <v>3</v>
      </c>
      <c r="D5" s="4">
        <v>3936.7</v>
      </c>
      <c r="E5" s="5" t="s">
        <v>41</v>
      </c>
    </row>
    <row r="6" spans="1:5" ht="12.75">
      <c r="A6" t="s">
        <v>4</v>
      </c>
      <c r="D6" s="4">
        <v>88</v>
      </c>
      <c r="E6" s="5"/>
    </row>
    <row r="7" spans="1:5" ht="12.75">
      <c r="A7" t="s">
        <v>5</v>
      </c>
      <c r="D7" s="4">
        <v>185</v>
      </c>
      <c r="E7" s="5" t="s">
        <v>6</v>
      </c>
    </row>
    <row r="8" spans="1:5" ht="12.75">
      <c r="A8" t="s">
        <v>7</v>
      </c>
      <c r="D8" s="4">
        <v>445.2</v>
      </c>
      <c r="E8" s="5" t="s">
        <v>41</v>
      </c>
    </row>
    <row r="9" spans="1:5" ht="12.75">
      <c r="A9" t="s">
        <v>8</v>
      </c>
      <c r="D9" s="4">
        <v>10482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895961.42</v>
      </c>
      <c r="C13" s="8">
        <f>SUM(C14:C25)</f>
        <v>862949.1699999999</v>
      </c>
      <c r="D13" s="8">
        <f>SUM(D14:D25)</f>
        <v>33012.24999999996</v>
      </c>
    </row>
    <row r="14" spans="1:4" ht="12.75" hidden="1">
      <c r="A14" s="9" t="s">
        <v>25</v>
      </c>
      <c r="B14" s="8">
        <v>71779.66</v>
      </c>
      <c r="C14" s="8">
        <v>63834.79</v>
      </c>
      <c r="D14" s="8">
        <f aca="true" t="shared" si="0" ref="D14:D25">B14-C14</f>
        <v>7944.870000000003</v>
      </c>
    </row>
    <row r="15" spans="1:4" ht="12.75" hidden="1">
      <c r="A15" s="9" t="s">
        <v>13</v>
      </c>
      <c r="B15" s="8">
        <v>71779.66</v>
      </c>
      <c r="C15" s="13">
        <v>67862.84</v>
      </c>
      <c r="D15" s="8">
        <f t="shared" si="0"/>
        <v>3916.820000000007</v>
      </c>
    </row>
    <row r="16" spans="1:4" ht="12.75" hidden="1">
      <c r="A16" s="9" t="s">
        <v>14</v>
      </c>
      <c r="B16" s="8">
        <v>71779.66</v>
      </c>
      <c r="C16" s="13">
        <v>86203.59</v>
      </c>
      <c r="D16" s="8">
        <f t="shared" si="0"/>
        <v>-14423.929999999993</v>
      </c>
    </row>
    <row r="17" spans="1:4" ht="12.75" hidden="1">
      <c r="A17" s="9" t="s">
        <v>15</v>
      </c>
      <c r="B17" s="8">
        <v>71779.66</v>
      </c>
      <c r="C17" s="13">
        <v>69967.33</v>
      </c>
      <c r="D17" s="8">
        <f t="shared" si="0"/>
        <v>1812.3300000000017</v>
      </c>
    </row>
    <row r="18" spans="1:4" ht="12.75" hidden="1">
      <c r="A18" s="9" t="s">
        <v>16</v>
      </c>
      <c r="B18" s="8">
        <f>71779.84-1207.49</f>
        <v>70572.34999999999</v>
      </c>
      <c r="C18" s="13">
        <v>58837.99</v>
      </c>
      <c r="D18" s="8">
        <f t="shared" si="0"/>
        <v>11734.359999999993</v>
      </c>
    </row>
    <row r="19" spans="1:4" ht="12.75" hidden="1">
      <c r="A19" s="9" t="s">
        <v>17</v>
      </c>
      <c r="B19" s="8">
        <v>71779.84</v>
      </c>
      <c r="C19" s="13">
        <v>73364.69</v>
      </c>
      <c r="D19" s="8">
        <f t="shared" si="0"/>
        <v>-1584.8500000000058</v>
      </c>
    </row>
    <row r="20" spans="1:4" ht="12.75" hidden="1">
      <c r="A20" s="9" t="s">
        <v>18</v>
      </c>
      <c r="B20" s="8">
        <v>71779.84</v>
      </c>
      <c r="C20" s="13">
        <v>67989.57</v>
      </c>
      <c r="D20" s="8">
        <f t="shared" si="0"/>
        <v>3790.2699999999895</v>
      </c>
    </row>
    <row r="21" spans="1:4" ht="12.75" hidden="1">
      <c r="A21" s="9" t="s">
        <v>19</v>
      </c>
      <c r="B21" s="13">
        <v>78942.15</v>
      </c>
      <c r="C21" s="13">
        <v>72556.77</v>
      </c>
      <c r="D21" s="8">
        <f t="shared" si="0"/>
        <v>6385.37999999999</v>
      </c>
    </row>
    <row r="22" spans="1:4" ht="12.75" hidden="1">
      <c r="A22" s="9" t="s">
        <v>20</v>
      </c>
      <c r="B22" s="13">
        <v>78942.15</v>
      </c>
      <c r="C22" s="13">
        <v>71194.34</v>
      </c>
      <c r="D22" s="8">
        <f t="shared" si="0"/>
        <v>7747.809999999998</v>
      </c>
    </row>
    <row r="23" spans="1:4" ht="12.75" hidden="1">
      <c r="A23" s="9" t="s">
        <v>21</v>
      </c>
      <c r="B23" s="13">
        <v>78942.15</v>
      </c>
      <c r="C23" s="13">
        <v>78148.52</v>
      </c>
      <c r="D23" s="13">
        <f t="shared" si="0"/>
        <v>793.6299999999901</v>
      </c>
    </row>
    <row r="24" spans="1:4" ht="12.75" hidden="1">
      <c r="A24" s="9" t="s">
        <v>22</v>
      </c>
      <c r="B24" s="13">
        <v>78942.15</v>
      </c>
      <c r="C24" s="13">
        <v>65533.37</v>
      </c>
      <c r="D24" s="13">
        <f t="shared" si="0"/>
        <v>13408.779999999992</v>
      </c>
    </row>
    <row r="25" spans="1:4" ht="12.75" hidden="1">
      <c r="A25" s="9" t="s">
        <v>23</v>
      </c>
      <c r="B25" s="13">
        <v>78942.15</v>
      </c>
      <c r="C25" s="13">
        <v>87455.37</v>
      </c>
      <c r="D25" s="13">
        <f t="shared" si="0"/>
        <v>-8513.220000000001</v>
      </c>
    </row>
    <row r="26" spans="1:4" ht="12.75">
      <c r="A26" s="7" t="s">
        <v>24</v>
      </c>
      <c r="B26" s="8">
        <f>SUM(B27:B38)</f>
        <v>216.60000000000002</v>
      </c>
      <c r="C26" s="8">
        <f>SUM(C27:C38)</f>
        <v>186.33</v>
      </c>
      <c r="D26" s="8">
        <f>SUM(D27:D38)</f>
        <v>30.270000000000003</v>
      </c>
    </row>
    <row r="27" spans="1:4" ht="12.75" hidden="1">
      <c r="A27" s="9" t="s">
        <v>25</v>
      </c>
      <c r="B27" s="8">
        <v>20.41</v>
      </c>
      <c r="C27" s="8">
        <v>14.06</v>
      </c>
      <c r="D27" s="8">
        <f aca="true" t="shared" si="1" ref="D27:D38">B27-C27</f>
        <v>6.35</v>
      </c>
    </row>
    <row r="28" spans="1:4" ht="12.75" hidden="1">
      <c r="A28" s="9" t="s">
        <v>13</v>
      </c>
      <c r="B28" s="8">
        <v>20.41</v>
      </c>
      <c r="C28" s="13">
        <v>21.28</v>
      </c>
      <c r="D28" s="8">
        <f t="shared" si="1"/>
        <v>-0.870000000000001</v>
      </c>
    </row>
    <row r="29" spans="1:4" ht="12.75" hidden="1">
      <c r="A29" s="9" t="s">
        <v>14</v>
      </c>
      <c r="B29" s="8">
        <v>20.41</v>
      </c>
      <c r="C29" s="13">
        <v>17.64</v>
      </c>
      <c r="D29" s="8">
        <f t="shared" si="1"/>
        <v>2.7699999999999996</v>
      </c>
    </row>
    <row r="30" spans="1:4" ht="12.75" hidden="1">
      <c r="A30" s="9" t="s">
        <v>15</v>
      </c>
      <c r="B30" s="8">
        <v>20.41</v>
      </c>
      <c r="C30" s="13">
        <v>20.71</v>
      </c>
      <c r="D30" s="8">
        <f t="shared" si="1"/>
        <v>-0.3000000000000007</v>
      </c>
    </row>
    <row r="31" spans="1:4" ht="12.75" hidden="1">
      <c r="A31" s="9" t="s">
        <v>16</v>
      </c>
      <c r="B31" s="13">
        <v>16.87</v>
      </c>
      <c r="C31" s="13">
        <v>10.52</v>
      </c>
      <c r="D31" s="8">
        <f t="shared" si="1"/>
        <v>6.350000000000001</v>
      </c>
    </row>
    <row r="32" spans="1:4" ht="12.75" hidden="1">
      <c r="A32" s="9" t="s">
        <v>17</v>
      </c>
      <c r="B32" s="13">
        <v>16.87</v>
      </c>
      <c r="C32" s="13">
        <v>17.64</v>
      </c>
      <c r="D32" s="8">
        <f t="shared" si="1"/>
        <v>-0.7699999999999996</v>
      </c>
    </row>
    <row r="33" spans="1:4" ht="12.75" hidden="1">
      <c r="A33" s="9" t="s">
        <v>18</v>
      </c>
      <c r="B33" s="13">
        <v>16.87</v>
      </c>
      <c r="C33" s="13">
        <v>14.08</v>
      </c>
      <c r="D33" s="8">
        <f t="shared" si="1"/>
        <v>2.790000000000001</v>
      </c>
    </row>
    <row r="34" spans="1:4" ht="12.75" hidden="1">
      <c r="A34" s="9" t="s">
        <v>19</v>
      </c>
      <c r="B34" s="13">
        <v>16.87</v>
      </c>
      <c r="C34" s="13">
        <v>14.08</v>
      </c>
      <c r="D34" s="8">
        <f t="shared" si="1"/>
        <v>2.790000000000001</v>
      </c>
    </row>
    <row r="35" spans="1:4" ht="12.75" hidden="1">
      <c r="A35" s="9" t="s">
        <v>20</v>
      </c>
      <c r="B35" s="13">
        <v>16.87</v>
      </c>
      <c r="C35" s="13">
        <v>14.08</v>
      </c>
      <c r="D35" s="8">
        <f t="shared" si="1"/>
        <v>2.790000000000001</v>
      </c>
    </row>
    <row r="36" spans="1:4" ht="12.75" hidden="1">
      <c r="A36" s="9" t="s">
        <v>21</v>
      </c>
      <c r="B36" s="13">
        <v>16.87</v>
      </c>
      <c r="C36" s="13">
        <v>10.52</v>
      </c>
      <c r="D36" s="13">
        <f t="shared" si="1"/>
        <v>6.350000000000001</v>
      </c>
    </row>
    <row r="37" spans="1:4" ht="12.75" hidden="1">
      <c r="A37" s="9" t="s">
        <v>22</v>
      </c>
      <c r="B37" s="13">
        <v>16.87</v>
      </c>
      <c r="C37" s="13">
        <v>17.64</v>
      </c>
      <c r="D37" s="13">
        <f t="shared" si="1"/>
        <v>-0.7699999999999996</v>
      </c>
    </row>
    <row r="38" spans="1:4" ht="12.75" hidden="1">
      <c r="A38" s="9" t="s">
        <v>23</v>
      </c>
      <c r="B38" s="13">
        <v>16.87</v>
      </c>
      <c r="C38" s="13">
        <v>14.08</v>
      </c>
      <c r="D38" s="13">
        <f t="shared" si="1"/>
        <v>2.790000000000001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>
        <v>0</v>
      </c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73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896178.02</v>
      </c>
      <c r="C48" s="8">
        <f>C13+C26</f>
        <v>863135.4999999999</v>
      </c>
      <c r="D48" s="8">
        <f>D13+D26</f>
        <v>33042.51999999996</v>
      </c>
    </row>
    <row r="50" spans="1:4" ht="12.75">
      <c r="A50" t="s">
        <v>27</v>
      </c>
      <c r="D50" s="12">
        <f>D48</f>
        <v>33042.51999999996</v>
      </c>
    </row>
    <row r="52" spans="1:4" ht="13.5" customHeight="1">
      <c r="A52" s="11" t="s">
        <v>28</v>
      </c>
      <c r="D52" s="12">
        <f>D53+D54</f>
        <v>78458.431</v>
      </c>
    </row>
    <row r="53" spans="1:4" ht="12.75" hidden="1">
      <c r="A53" s="11" t="s">
        <v>29</v>
      </c>
      <c r="D53" s="12">
        <f>(2.75*2*D5)+(1.1*5*D5)+(1.21*5*D5)</f>
        <v>67120.735</v>
      </c>
    </row>
    <row r="54" spans="1:4" ht="12.75" hidden="1">
      <c r="A54" s="11" t="s">
        <v>30</v>
      </c>
      <c r="D54" s="12">
        <f>(0.24*12*D5)</f>
        <v>11337.696</v>
      </c>
    </row>
    <row r="55" spans="1:4" ht="12.75">
      <c r="A55" s="11" t="s">
        <v>31</v>
      </c>
      <c r="D55" s="12">
        <f>(0.66*2*D5)</f>
        <v>5196.444</v>
      </c>
    </row>
    <row r="56" spans="1:4" ht="12.75">
      <c r="A56" s="11" t="s">
        <v>81</v>
      </c>
      <c r="D56" s="12">
        <f>(0.5*2*D5)+(0.55*5*D5)+(0.6*5*D5)</f>
        <v>26572.725</v>
      </c>
    </row>
    <row r="57" spans="1:4" ht="12.75">
      <c r="A57" s="11" t="s">
        <v>90</v>
      </c>
      <c r="D57" s="12">
        <f>(2.2*7*D5)+(2.42*5*D5)</f>
        <v>108259.25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5668.848</v>
      </c>
    </row>
    <row r="60" spans="1:4" ht="12.75">
      <c r="A60" s="11" t="s">
        <v>34</v>
      </c>
      <c r="D60" s="12">
        <f>(3.3*2*D5)+(1.2*5*D5)+(1.32*5*D5)</f>
        <v>75584.64</v>
      </c>
    </row>
    <row r="61" spans="1:4" ht="12.75">
      <c r="A61" s="11" t="s">
        <v>35</v>
      </c>
      <c r="D61" s="12">
        <f>(2.2*2*D5)+(4.1*5*D5)+(4.51*5*D5)</f>
        <v>186796.41499999998</v>
      </c>
    </row>
    <row r="62" spans="1:4" ht="12.75">
      <c r="A62" s="11" t="s">
        <v>36</v>
      </c>
      <c r="D62" s="12">
        <f>(0.24*7*D5)+(0.26*5*D5)</f>
        <v>11731.365999999998</v>
      </c>
    </row>
    <row r="63" spans="1:4" ht="12.75">
      <c r="A63" s="11" t="s">
        <v>82</v>
      </c>
      <c r="D63" s="12">
        <f>(0.77*2*D5)+(3.2*5*D5)+(3.52*5*D5)</f>
        <v>138335.63799999998</v>
      </c>
    </row>
    <row r="64" spans="1:4" ht="12.75">
      <c r="A64" s="11" t="s">
        <v>37</v>
      </c>
      <c r="D64" s="12">
        <f>2.25*12*D6</f>
        <v>2376</v>
      </c>
    </row>
    <row r="65" spans="1:4" ht="12.75">
      <c r="A65" s="11" t="s">
        <v>38</v>
      </c>
      <c r="D65" s="12">
        <v>34080</v>
      </c>
    </row>
    <row r="66" spans="1:4" ht="12.75">
      <c r="A66" s="11" t="s">
        <v>39</v>
      </c>
      <c r="D66" s="12">
        <f>(1.76*2*D5)+(0.75*5*D5)+(0.83*5*D5)</f>
        <v>44957.114</v>
      </c>
    </row>
    <row r="67" spans="1:4" ht="12.75" hidden="1">
      <c r="A67" s="15" t="s">
        <v>65</v>
      </c>
      <c r="D67" s="12">
        <v>0</v>
      </c>
    </row>
    <row r="68" spans="1:4" ht="12.75">
      <c r="A68" s="11"/>
      <c r="D68" s="12"/>
    </row>
    <row r="69" spans="1:4" ht="12.75">
      <c r="A69" s="11" t="s">
        <v>40</v>
      </c>
      <c r="D69" s="12">
        <f>D52+D55+D56+D57+D58+D59+D60+D61+D62+D63+D64+D65+D66</f>
        <v>718016.871</v>
      </c>
    </row>
    <row r="70" spans="1:7" ht="12.75">
      <c r="A70" s="11"/>
      <c r="D70" s="12"/>
      <c r="G70" s="18"/>
    </row>
    <row r="71" spans="1:7" ht="12.75">
      <c r="A71" t="s">
        <v>68</v>
      </c>
      <c r="D71" s="12">
        <f>C48-D69</f>
        <v>145118.62899999984</v>
      </c>
      <c r="G71" s="18"/>
    </row>
    <row r="72" ht="12.75">
      <c r="G72" s="18"/>
    </row>
    <row r="73" spans="4:7" ht="12.75">
      <c r="D73" s="12"/>
      <c r="G73" s="18"/>
    </row>
    <row r="74" ht="12.75">
      <c r="G74" s="18"/>
    </row>
    <row r="75" ht="12.75">
      <c r="G75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/>
  <dimension ref="A3:G88"/>
  <sheetViews>
    <sheetView zoomScalePageLayoutView="0" workbookViewId="0" topLeftCell="A4">
      <selection activeCell="G73" sqref="G73:K94"/>
    </sheetView>
  </sheetViews>
  <sheetFormatPr defaultColWidth="9.140625" defaultRowHeight="12.75"/>
  <cols>
    <col min="1" max="1" width="16.28125" style="0" customWidth="1"/>
    <col min="2" max="3" width="13.57421875" style="0" customWidth="1"/>
    <col min="4" max="4" width="15.140625" style="0" customWidth="1"/>
  </cols>
  <sheetData>
    <row r="3" spans="1:7" ht="12.75">
      <c r="A3" s="1" t="s">
        <v>0</v>
      </c>
      <c r="B3" s="2" t="s">
        <v>1</v>
      </c>
      <c r="C3" s="1" t="s">
        <v>61</v>
      </c>
      <c r="D3" s="1"/>
      <c r="E3" s="1" t="s">
        <v>2</v>
      </c>
      <c r="F3" s="3">
        <v>6</v>
      </c>
      <c r="G3">
        <v>2015</v>
      </c>
    </row>
    <row r="5" spans="1:5" ht="12.75">
      <c r="A5" t="s">
        <v>3</v>
      </c>
      <c r="D5" s="4">
        <v>6097.6</v>
      </c>
      <c r="E5" s="5" t="s">
        <v>41</v>
      </c>
    </row>
    <row r="6" spans="1:5" ht="12.75">
      <c r="A6" t="s">
        <v>4</v>
      </c>
      <c r="D6" s="4">
        <v>110</v>
      </c>
      <c r="E6" s="5"/>
    </row>
    <row r="7" spans="1:5" ht="12.75">
      <c r="A7" t="s">
        <v>5</v>
      </c>
      <c r="D7" s="4">
        <v>262</v>
      </c>
      <c r="E7" s="5" t="s">
        <v>6</v>
      </c>
    </row>
    <row r="8" spans="1:5" ht="12.75">
      <c r="A8" t="s">
        <v>7</v>
      </c>
      <c r="D8" s="4">
        <v>1069.7</v>
      </c>
      <c r="E8" s="5" t="s">
        <v>41</v>
      </c>
    </row>
    <row r="9" spans="1:5" ht="12.75">
      <c r="A9" t="s">
        <v>8</v>
      </c>
      <c r="D9" s="4">
        <v>3926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1597300.3900000004</v>
      </c>
      <c r="C13" s="8">
        <f>SUM(C14:C25)</f>
        <v>1594680.2499999995</v>
      </c>
      <c r="D13" s="8">
        <f>SUM(D14:D25)</f>
        <v>2620.140000000072</v>
      </c>
    </row>
    <row r="14" spans="1:4" ht="12.75" hidden="1">
      <c r="A14" s="9" t="s">
        <v>25</v>
      </c>
      <c r="B14" s="8">
        <v>127774.27</v>
      </c>
      <c r="C14" s="8">
        <v>115129.61</v>
      </c>
      <c r="D14" s="8">
        <f aca="true" t="shared" si="0" ref="D14:D25">B14-C14</f>
        <v>12644.660000000003</v>
      </c>
    </row>
    <row r="15" spans="1:4" ht="12.75" hidden="1">
      <c r="A15" s="9" t="s">
        <v>13</v>
      </c>
      <c r="B15" s="8">
        <v>127774.27</v>
      </c>
      <c r="C15" s="13">
        <v>110808.9</v>
      </c>
      <c r="D15" s="8">
        <f t="shared" si="0"/>
        <v>16965.37000000001</v>
      </c>
    </row>
    <row r="16" spans="1:4" ht="12.75" hidden="1">
      <c r="A16" s="9" t="s">
        <v>14</v>
      </c>
      <c r="B16" s="8">
        <v>127774.27</v>
      </c>
      <c r="C16" s="13">
        <v>160241.47</v>
      </c>
      <c r="D16" s="8">
        <f t="shared" si="0"/>
        <v>-32467.199999999997</v>
      </c>
    </row>
    <row r="17" spans="1:4" ht="12.75" hidden="1">
      <c r="A17" s="9" t="s">
        <v>15</v>
      </c>
      <c r="B17" s="8">
        <v>127774.27</v>
      </c>
      <c r="C17" s="13">
        <v>122529.37</v>
      </c>
      <c r="D17" s="8">
        <f t="shared" si="0"/>
        <v>5244.900000000009</v>
      </c>
    </row>
    <row r="18" spans="1:4" ht="12.75" hidden="1">
      <c r="A18" s="9" t="s">
        <v>16</v>
      </c>
      <c r="B18" s="8">
        <v>127774.27</v>
      </c>
      <c r="C18" s="13">
        <v>125731.31</v>
      </c>
      <c r="D18" s="8">
        <f t="shared" si="0"/>
        <v>2042.9600000000064</v>
      </c>
    </row>
    <row r="19" spans="1:4" ht="12.75" hidden="1">
      <c r="A19" s="9" t="s">
        <v>17</v>
      </c>
      <c r="B19" s="8">
        <v>127774.27</v>
      </c>
      <c r="C19" s="13">
        <v>118817.44</v>
      </c>
      <c r="D19" s="8">
        <f t="shared" si="0"/>
        <v>8956.830000000002</v>
      </c>
    </row>
    <row r="20" spans="1:4" ht="12.75" hidden="1">
      <c r="A20" s="9" t="s">
        <v>18</v>
      </c>
      <c r="B20" s="8">
        <v>127774.27</v>
      </c>
      <c r="C20" s="13">
        <v>111909.44</v>
      </c>
      <c r="D20" s="8">
        <f t="shared" si="0"/>
        <v>15864.830000000002</v>
      </c>
    </row>
    <row r="21" spans="1:4" ht="12.75" hidden="1">
      <c r="A21" s="9" t="s">
        <v>19</v>
      </c>
      <c r="B21" s="13">
        <v>140576.1</v>
      </c>
      <c r="C21" s="13">
        <v>131876.43</v>
      </c>
      <c r="D21" s="8">
        <f t="shared" si="0"/>
        <v>8699.670000000013</v>
      </c>
    </row>
    <row r="22" spans="1:4" ht="12.75" hidden="1">
      <c r="A22" s="9" t="s">
        <v>20</v>
      </c>
      <c r="B22" s="13">
        <v>140576.1</v>
      </c>
      <c r="C22" s="13">
        <v>148645.66</v>
      </c>
      <c r="D22" s="8">
        <f t="shared" si="0"/>
        <v>-8069.559999999998</v>
      </c>
    </row>
    <row r="23" spans="1:4" ht="12.75" hidden="1">
      <c r="A23" s="9" t="s">
        <v>21</v>
      </c>
      <c r="B23" s="13">
        <v>140576.1</v>
      </c>
      <c r="C23" s="13">
        <v>132349.32</v>
      </c>
      <c r="D23" s="13">
        <f t="shared" si="0"/>
        <v>8226.779999999999</v>
      </c>
    </row>
    <row r="24" spans="1:4" ht="12.75" hidden="1">
      <c r="A24" s="9" t="s">
        <v>22</v>
      </c>
      <c r="B24" s="13">
        <v>140576.1</v>
      </c>
      <c r="C24" s="13">
        <v>150027.9</v>
      </c>
      <c r="D24" s="13">
        <f t="shared" si="0"/>
        <v>-9451.799999999988</v>
      </c>
    </row>
    <row r="25" spans="1:4" ht="12.75" hidden="1">
      <c r="A25" s="9" t="s">
        <v>23</v>
      </c>
      <c r="B25" s="13">
        <v>140576.1</v>
      </c>
      <c r="C25" s="13">
        <v>166613.4</v>
      </c>
      <c r="D25" s="13">
        <f t="shared" si="0"/>
        <v>-26037.29999999999</v>
      </c>
    </row>
    <row r="26" spans="1:4" ht="12.75">
      <c r="A26" s="7" t="s">
        <v>24</v>
      </c>
      <c r="B26" s="8">
        <f>SUM(B27:B38)</f>
        <v>379.0799999999999</v>
      </c>
      <c r="C26" s="8">
        <f>SUM(C27:C38)</f>
        <v>370.81999999999994</v>
      </c>
      <c r="D26" s="8">
        <f>SUM(D27:D38)</f>
        <v>8.260000000000016</v>
      </c>
    </row>
    <row r="27" spans="1:4" ht="12.75" hidden="1">
      <c r="A27" s="9" t="s">
        <v>25</v>
      </c>
      <c r="B27" s="8">
        <v>31.59</v>
      </c>
      <c r="C27" s="8">
        <v>25.45</v>
      </c>
      <c r="D27" s="8">
        <f aca="true" t="shared" si="1" ref="D27:D38">B27-C27</f>
        <v>6.140000000000001</v>
      </c>
    </row>
    <row r="28" spans="1:4" ht="12.75" hidden="1">
      <c r="A28" s="9" t="s">
        <v>13</v>
      </c>
      <c r="B28" s="8">
        <v>31.59</v>
      </c>
      <c r="C28" s="13">
        <v>19.2</v>
      </c>
      <c r="D28" s="8">
        <f t="shared" si="1"/>
        <v>12.39</v>
      </c>
    </row>
    <row r="29" spans="1:4" ht="12.75" hidden="1">
      <c r="A29" s="9" t="s">
        <v>14</v>
      </c>
      <c r="B29" s="8">
        <v>31.59</v>
      </c>
      <c r="C29" s="13">
        <v>36.58</v>
      </c>
      <c r="D29" s="8">
        <f t="shared" si="1"/>
        <v>-4.989999999999998</v>
      </c>
    </row>
    <row r="30" spans="1:4" ht="12.75" hidden="1">
      <c r="A30" s="9" t="s">
        <v>15</v>
      </c>
      <c r="B30" s="8">
        <v>31.59</v>
      </c>
      <c r="C30" s="13">
        <v>29.83</v>
      </c>
      <c r="D30" s="8">
        <f t="shared" si="1"/>
        <v>1.7600000000000016</v>
      </c>
    </row>
    <row r="31" spans="1:4" ht="12.75" hidden="1">
      <c r="A31" s="9" t="s">
        <v>16</v>
      </c>
      <c r="B31" s="8">
        <v>31.59</v>
      </c>
      <c r="C31" s="13">
        <v>21.34</v>
      </c>
      <c r="D31" s="8">
        <f t="shared" si="1"/>
        <v>10.25</v>
      </c>
    </row>
    <row r="32" spans="1:4" ht="12.75" hidden="1">
      <c r="A32" s="9" t="s">
        <v>17</v>
      </c>
      <c r="B32" s="8">
        <v>31.59</v>
      </c>
      <c r="C32" s="13">
        <v>21.97</v>
      </c>
      <c r="D32" s="8">
        <f t="shared" si="1"/>
        <v>9.620000000000001</v>
      </c>
    </row>
    <row r="33" spans="1:4" ht="12.75" hidden="1">
      <c r="A33" s="9" t="s">
        <v>18</v>
      </c>
      <c r="B33" s="8">
        <v>31.59</v>
      </c>
      <c r="C33" s="13">
        <v>17.12</v>
      </c>
      <c r="D33" s="8">
        <f t="shared" si="1"/>
        <v>14.469999999999999</v>
      </c>
    </row>
    <row r="34" spans="1:4" ht="12.75" hidden="1">
      <c r="A34" s="9" t="s">
        <v>19</v>
      </c>
      <c r="B34" s="8">
        <v>31.59</v>
      </c>
      <c r="C34" s="13">
        <v>21.66</v>
      </c>
      <c r="D34" s="8">
        <f t="shared" si="1"/>
        <v>9.93</v>
      </c>
    </row>
    <row r="35" spans="1:4" ht="12.75" hidden="1">
      <c r="A35" s="9" t="s">
        <v>20</v>
      </c>
      <c r="B35" s="8">
        <v>31.59</v>
      </c>
      <c r="C35" s="13">
        <v>74.57</v>
      </c>
      <c r="D35" s="8">
        <f t="shared" si="1"/>
        <v>-42.97999999999999</v>
      </c>
    </row>
    <row r="36" spans="1:4" ht="12.75" hidden="1">
      <c r="A36" s="9" t="s">
        <v>21</v>
      </c>
      <c r="B36" s="8">
        <v>31.59</v>
      </c>
      <c r="C36" s="13">
        <v>35.9</v>
      </c>
      <c r="D36" s="13">
        <f t="shared" si="1"/>
        <v>-4.309999999999999</v>
      </c>
    </row>
    <row r="37" spans="1:4" ht="12.75" hidden="1">
      <c r="A37" s="9" t="s">
        <v>22</v>
      </c>
      <c r="B37" s="8">
        <v>31.59</v>
      </c>
      <c r="C37" s="13">
        <v>33.3</v>
      </c>
      <c r="D37" s="13">
        <f t="shared" si="1"/>
        <v>-1.7099999999999973</v>
      </c>
    </row>
    <row r="38" spans="1:4" ht="12.75" hidden="1">
      <c r="A38" s="9" t="s">
        <v>23</v>
      </c>
      <c r="B38" s="8">
        <v>31.59</v>
      </c>
      <c r="C38" s="13">
        <v>33.9</v>
      </c>
      <c r="D38" s="13">
        <f t="shared" si="1"/>
        <v>-2.3099999999999987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147</v>
      </c>
      <c r="B42" s="8">
        <f>SUM(B43:B54)</f>
        <v>0</v>
      </c>
      <c r="C42" s="8">
        <f>SUM(C43:C54)</f>
        <v>0</v>
      </c>
      <c r="D42" s="8">
        <f>SUM(D43:D54)</f>
        <v>0</v>
      </c>
    </row>
    <row r="43" spans="1:4" ht="12.75" hidden="1">
      <c r="A43" s="9" t="s">
        <v>25</v>
      </c>
      <c r="B43" s="8"/>
      <c r="C43" s="8"/>
      <c r="D43" s="8">
        <f aca="true" t="shared" si="2" ref="D43:D55">B43-C43</f>
        <v>0</v>
      </c>
    </row>
    <row r="44" spans="1:4" ht="12.75" hidden="1">
      <c r="A44" s="9" t="s">
        <v>13</v>
      </c>
      <c r="B44" s="13"/>
      <c r="C44" s="13"/>
      <c r="D44" s="8">
        <f t="shared" si="2"/>
        <v>0</v>
      </c>
    </row>
    <row r="45" spans="1:4" ht="12.75" hidden="1">
      <c r="A45" s="9" t="s">
        <v>14</v>
      </c>
      <c r="B45" s="13"/>
      <c r="C45" s="13"/>
      <c r="D45" s="8">
        <f t="shared" si="2"/>
        <v>0</v>
      </c>
    </row>
    <row r="46" spans="1:4" ht="12.75" hidden="1">
      <c r="A46" s="9" t="s">
        <v>15</v>
      </c>
      <c r="B46" s="13"/>
      <c r="C46" s="13"/>
      <c r="D46" s="8">
        <f t="shared" si="2"/>
        <v>0</v>
      </c>
    </row>
    <row r="47" spans="1:4" ht="12.75" hidden="1">
      <c r="A47" s="9" t="s">
        <v>16</v>
      </c>
      <c r="B47" s="13"/>
      <c r="C47" s="13"/>
      <c r="D47" s="8">
        <f t="shared" si="2"/>
        <v>0</v>
      </c>
    </row>
    <row r="48" spans="1:4" ht="12.75" hidden="1">
      <c r="A48" s="9" t="s">
        <v>17</v>
      </c>
      <c r="B48" s="13"/>
      <c r="C48" s="13"/>
      <c r="D48" s="8">
        <f t="shared" si="2"/>
        <v>0</v>
      </c>
    </row>
    <row r="49" spans="1:4" ht="12.75" hidden="1">
      <c r="A49" s="9" t="s">
        <v>18</v>
      </c>
      <c r="B49" s="13"/>
      <c r="C49" s="13"/>
      <c r="D49" s="8">
        <f t="shared" si="2"/>
        <v>0</v>
      </c>
    </row>
    <row r="50" spans="1:4" ht="12.75" hidden="1">
      <c r="A50" s="9" t="s">
        <v>19</v>
      </c>
      <c r="B50" s="8"/>
      <c r="C50" s="8"/>
      <c r="D50" s="8">
        <f t="shared" si="2"/>
        <v>0</v>
      </c>
    </row>
    <row r="51" spans="1:4" ht="12.75" hidden="1">
      <c r="A51" s="9" t="s">
        <v>20</v>
      </c>
      <c r="B51" s="13"/>
      <c r="C51" s="13"/>
      <c r="D51" s="8">
        <f t="shared" si="2"/>
        <v>0</v>
      </c>
    </row>
    <row r="52" spans="1:4" ht="12.75" hidden="1">
      <c r="A52" s="9" t="s">
        <v>21</v>
      </c>
      <c r="B52" s="13"/>
      <c r="C52" s="13"/>
      <c r="D52" s="13">
        <f t="shared" si="2"/>
        <v>0</v>
      </c>
    </row>
    <row r="53" spans="1:4" ht="12.75" hidden="1">
      <c r="A53" s="9" t="s">
        <v>22</v>
      </c>
      <c r="B53" s="13"/>
      <c r="C53" s="13"/>
      <c r="D53" s="13">
        <f t="shared" si="2"/>
        <v>0</v>
      </c>
    </row>
    <row r="54" spans="1:4" ht="12.75" hidden="1">
      <c r="A54" s="9" t="s">
        <v>23</v>
      </c>
      <c r="B54" s="13"/>
      <c r="C54" s="13"/>
      <c r="D54" s="13">
        <f t="shared" si="2"/>
        <v>0</v>
      </c>
    </row>
    <row r="55" spans="1:4" ht="15" hidden="1">
      <c r="A55" s="20" t="s">
        <v>92</v>
      </c>
      <c r="B55" s="13"/>
      <c r="C55" s="13"/>
      <c r="D55" s="13">
        <f t="shared" si="2"/>
        <v>0</v>
      </c>
    </row>
    <row r="56" spans="1:4" ht="12.75">
      <c r="A56" s="9" t="s">
        <v>26</v>
      </c>
      <c r="B56" s="8">
        <f>B13+B26</f>
        <v>1597679.4700000004</v>
      </c>
      <c r="C56" s="8">
        <f>C13+C26</f>
        <v>1595051.0699999996</v>
      </c>
      <c r="D56" s="8">
        <f>D13+D26</f>
        <v>2628.4000000000724</v>
      </c>
    </row>
    <row r="58" spans="1:4" ht="12.75">
      <c r="A58" t="s">
        <v>27</v>
      </c>
      <c r="D58" s="12">
        <f>D56</f>
        <v>2628.4000000000724</v>
      </c>
    </row>
    <row r="60" spans="1:4" ht="12.75">
      <c r="A60" s="11" t="s">
        <v>28</v>
      </c>
      <c r="D60" s="12">
        <f>D61+D62</f>
        <v>121525.16800000002</v>
      </c>
    </row>
    <row r="61" spans="1:4" ht="12.75" hidden="1">
      <c r="A61" s="11" t="s">
        <v>29</v>
      </c>
      <c r="D61" s="12">
        <f>(2.75*2*D5)+(1.1*5*D5)+(1.21*5*D5)</f>
        <v>103964.08000000002</v>
      </c>
    </row>
    <row r="62" spans="1:4" ht="12.75" hidden="1">
      <c r="A62" s="11" t="s">
        <v>30</v>
      </c>
      <c r="D62" s="12">
        <f>(0.24*12*D5)</f>
        <v>17561.088</v>
      </c>
    </row>
    <row r="63" spans="1:4" ht="12.75">
      <c r="A63" s="11" t="s">
        <v>31</v>
      </c>
      <c r="D63" s="12">
        <f>(0.66*2*D5)</f>
        <v>8048.832000000001</v>
      </c>
    </row>
    <row r="64" spans="1:4" ht="12.75">
      <c r="A64" s="11" t="s">
        <v>81</v>
      </c>
      <c r="D64" s="12">
        <f>(0.5*2*D5)+(0.55*5*D5)+(0.6*5*D5)</f>
        <v>41158.8</v>
      </c>
    </row>
    <row r="65" spans="1:4" ht="12.75">
      <c r="A65" s="11" t="s">
        <v>90</v>
      </c>
      <c r="D65" s="12">
        <f>(2.2*7*D5)+(2.42*5*D5)</f>
        <v>167684.00000000003</v>
      </c>
    </row>
    <row r="66" spans="1:4" ht="12.75" hidden="1">
      <c r="A66" s="11" t="s">
        <v>33</v>
      </c>
      <c r="D66" s="12">
        <v>0</v>
      </c>
    </row>
    <row r="67" spans="1:4" ht="12.75">
      <c r="A67" s="11" t="s">
        <v>80</v>
      </c>
      <c r="D67" s="12">
        <f>(0.72*2*D5)</f>
        <v>8780.544</v>
      </c>
    </row>
    <row r="68" spans="1:4" ht="12.75">
      <c r="A68" s="11" t="s">
        <v>34</v>
      </c>
      <c r="D68" s="12">
        <f>(3.3*2*D5)+(1.2*5*D5)+(1.32*5*D5)</f>
        <v>117073.92000000001</v>
      </c>
    </row>
    <row r="69" spans="1:4" ht="12.75">
      <c r="A69" s="11" t="s">
        <v>35</v>
      </c>
      <c r="D69" s="12">
        <f>(2.2*2*D5)+(4.1*5*D5)+(4.51*5*D5)</f>
        <v>289331.12</v>
      </c>
    </row>
    <row r="70" spans="1:4" ht="12.75">
      <c r="A70" s="11" t="s">
        <v>36</v>
      </c>
      <c r="D70" s="12">
        <f>(0.24*7*D5)+(0.26*5*D5)</f>
        <v>18170.848</v>
      </c>
    </row>
    <row r="71" spans="1:4" ht="12.75">
      <c r="A71" s="11" t="s">
        <v>82</v>
      </c>
      <c r="D71" s="12">
        <f>(0.77*2*D5)+(3.2*5*D5)+(3.52*5*D5)</f>
        <v>214269.66400000002</v>
      </c>
    </row>
    <row r="72" spans="1:4" ht="12.75">
      <c r="A72" s="11" t="s">
        <v>37</v>
      </c>
      <c r="D72" s="12">
        <f>2.25*12*D6</f>
        <v>2970</v>
      </c>
    </row>
    <row r="73" spans="1:4" ht="12.75">
      <c r="A73" s="11" t="s">
        <v>38</v>
      </c>
      <c r="D73" s="12">
        <v>118341</v>
      </c>
    </row>
    <row r="74" spans="1:4" ht="12.75">
      <c r="A74" s="11" t="s">
        <v>39</v>
      </c>
      <c r="D74" s="12">
        <f>(1.76*2*D5)+(0.57*5*D5)+(0.64*4*D5)</f>
        <v>54451.568</v>
      </c>
    </row>
    <row r="75" spans="1:7" ht="12.75" hidden="1">
      <c r="A75" s="15" t="s">
        <v>65</v>
      </c>
      <c r="D75" s="12">
        <v>0</v>
      </c>
      <c r="G75" s="17"/>
    </row>
    <row r="76" spans="1:7" ht="12.75">
      <c r="A76" s="11" t="s">
        <v>67</v>
      </c>
      <c r="D76" s="12">
        <f>(3.85*7*D5)+(3.5*0*D5)+(4.24*5*D5)</f>
        <v>293599.44000000006</v>
      </c>
      <c r="G76" s="18"/>
    </row>
    <row r="77" spans="1:7" ht="12.75">
      <c r="A77" s="11"/>
      <c r="D77" s="12"/>
      <c r="G77" s="18"/>
    </row>
    <row r="78" spans="1:7" ht="12.75">
      <c r="A78" s="11" t="s">
        <v>40</v>
      </c>
      <c r="D78" s="12">
        <f>D60+D63+D65+D66+D68+D69+D70+D71+D72+D73+D74+D75+D76-D75</f>
        <v>1405465.56</v>
      </c>
      <c r="G78" s="18"/>
    </row>
    <row r="79" spans="1:7" ht="12.75">
      <c r="A79" s="11"/>
      <c r="D79" s="12"/>
      <c r="G79" s="18"/>
    </row>
    <row r="80" spans="1:7" ht="12.75">
      <c r="A80" t="s">
        <v>69</v>
      </c>
      <c r="D80" s="12">
        <f>C56-D78</f>
        <v>189585.50999999954</v>
      </c>
      <c r="G80" s="18"/>
    </row>
    <row r="81" ht="12.75">
      <c r="G81" s="18"/>
    </row>
    <row r="82" spans="4:7" ht="12.75">
      <c r="D82" s="12"/>
      <c r="G82" s="18"/>
    </row>
    <row r="83" ht="12.75">
      <c r="G83" s="18"/>
    </row>
    <row r="84" ht="12.75">
      <c r="G84" s="18"/>
    </row>
    <row r="85" ht="12.75">
      <c r="G85" s="18"/>
    </row>
    <row r="86" ht="12.75">
      <c r="G86" s="18"/>
    </row>
    <row r="87" ht="12.75">
      <c r="G87" s="18"/>
    </row>
    <row r="88" ht="12.75">
      <c r="G88" s="18"/>
    </row>
    <row r="89" ht="12.75" hidden="1"/>
    <row r="90" ht="12.75" hidden="1"/>
    <row r="92" ht="12.75" hidden="1"/>
    <row r="95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/>
  <dimension ref="A3:G109"/>
  <sheetViews>
    <sheetView zoomScalePageLayoutView="0" workbookViewId="0" topLeftCell="A1">
      <selection activeCell="G80" sqref="G80:L97"/>
    </sheetView>
  </sheetViews>
  <sheetFormatPr defaultColWidth="9.140625" defaultRowHeight="12.75"/>
  <cols>
    <col min="1" max="1" width="14.8515625" style="0" customWidth="1"/>
    <col min="2" max="2" width="22.28125" style="0" customWidth="1"/>
    <col min="3" max="4" width="14.8515625" style="0" customWidth="1"/>
  </cols>
  <sheetData>
    <row r="3" spans="1:7" ht="12.75">
      <c r="A3" s="1" t="s">
        <v>0</v>
      </c>
      <c r="B3" s="2" t="s">
        <v>1</v>
      </c>
      <c r="C3" s="1" t="s">
        <v>61</v>
      </c>
      <c r="D3" s="1"/>
      <c r="E3" s="1" t="s">
        <v>2</v>
      </c>
      <c r="F3" s="3" t="s">
        <v>62</v>
      </c>
      <c r="G3">
        <v>2015</v>
      </c>
    </row>
    <row r="5" spans="1:5" ht="12.75">
      <c r="A5" t="s">
        <v>3</v>
      </c>
      <c r="D5" s="4">
        <v>4169.1</v>
      </c>
      <c r="E5" s="5" t="s">
        <v>41</v>
      </c>
    </row>
    <row r="6" spans="1:5" ht="12.75">
      <c r="A6" t="s">
        <v>4</v>
      </c>
      <c r="D6" s="4">
        <v>72</v>
      </c>
      <c r="E6" s="5"/>
    </row>
    <row r="7" spans="1:5" ht="12.75">
      <c r="A7" t="s">
        <v>5</v>
      </c>
      <c r="D7" s="4">
        <v>150</v>
      </c>
      <c r="E7" s="5" t="s">
        <v>6</v>
      </c>
    </row>
    <row r="8" spans="1:5" ht="12.75">
      <c r="A8" t="s">
        <v>7</v>
      </c>
      <c r="D8" s="4">
        <v>713</v>
      </c>
      <c r="E8" s="5" t="s">
        <v>41</v>
      </c>
    </row>
    <row r="9" spans="1:5" ht="12.75">
      <c r="A9" t="s">
        <v>8</v>
      </c>
      <c r="D9" s="4">
        <v>764</v>
      </c>
      <c r="E9" s="5" t="s">
        <v>41</v>
      </c>
    </row>
    <row r="12" spans="2:4" ht="12" customHeight="1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1091320.29</v>
      </c>
      <c r="C13" s="8">
        <f>SUM(C14:C25)</f>
        <v>1093464.86</v>
      </c>
      <c r="D13" s="8">
        <f>SUM(D14:D25)</f>
        <v>-2144.569999999949</v>
      </c>
    </row>
    <row r="14" spans="1:4" ht="12.75" hidden="1">
      <c r="A14" s="9" t="s">
        <v>25</v>
      </c>
      <c r="B14" s="8">
        <v>87384.3</v>
      </c>
      <c r="C14" s="8">
        <v>78319.87</v>
      </c>
      <c r="D14" s="8">
        <f aca="true" t="shared" si="0" ref="D14:D25">B14-C14</f>
        <v>9064.430000000008</v>
      </c>
    </row>
    <row r="15" spans="1:4" ht="12.75" hidden="1">
      <c r="A15" s="9" t="s">
        <v>13</v>
      </c>
      <c r="B15" s="8">
        <v>87384.3</v>
      </c>
      <c r="C15" s="13">
        <v>70653.22</v>
      </c>
      <c r="D15" s="8">
        <f t="shared" si="0"/>
        <v>16731.08</v>
      </c>
    </row>
    <row r="16" spans="1:4" ht="12.75" hidden="1">
      <c r="A16" s="9" t="s">
        <v>14</v>
      </c>
      <c r="B16" s="8">
        <v>87384.3</v>
      </c>
      <c r="C16" s="13">
        <v>119731.44</v>
      </c>
      <c r="D16" s="8">
        <f t="shared" si="0"/>
        <v>-32347.14</v>
      </c>
    </row>
    <row r="17" spans="1:4" ht="12.75" hidden="1">
      <c r="A17" s="9" t="s">
        <v>15</v>
      </c>
      <c r="B17" s="8">
        <v>87384.3</v>
      </c>
      <c r="C17" s="13">
        <v>81014.14</v>
      </c>
      <c r="D17" s="8">
        <f t="shared" si="0"/>
        <v>6370.1600000000035</v>
      </c>
    </row>
    <row r="18" spans="1:4" ht="12.75" hidden="1">
      <c r="A18" s="9" t="s">
        <v>16</v>
      </c>
      <c r="B18" s="8">
        <f>87384.3-1066.86</f>
        <v>86317.44</v>
      </c>
      <c r="C18" s="13">
        <v>78480.94</v>
      </c>
      <c r="D18" s="8">
        <f t="shared" si="0"/>
        <v>7836.5</v>
      </c>
    </row>
    <row r="19" spans="1:4" ht="12.75" hidden="1">
      <c r="A19" s="9" t="s">
        <v>17</v>
      </c>
      <c r="B19" s="8">
        <v>87384.3</v>
      </c>
      <c r="C19" s="13">
        <v>92843.4</v>
      </c>
      <c r="D19" s="8">
        <f t="shared" si="0"/>
        <v>-5459.099999999991</v>
      </c>
    </row>
    <row r="20" spans="1:4" ht="12.75" hidden="1">
      <c r="A20" s="9" t="s">
        <v>18</v>
      </c>
      <c r="B20" s="8">
        <v>87384.3</v>
      </c>
      <c r="C20" s="13">
        <v>81012.77</v>
      </c>
      <c r="D20" s="8">
        <f t="shared" si="0"/>
        <v>6371.529999999999</v>
      </c>
    </row>
    <row r="21" spans="1:4" ht="12.75" hidden="1">
      <c r="A21" s="9" t="s">
        <v>19</v>
      </c>
      <c r="B21" s="13">
        <v>96139.41</v>
      </c>
      <c r="C21" s="13">
        <v>103935.12</v>
      </c>
      <c r="D21" s="8">
        <f t="shared" si="0"/>
        <v>-7795.709999999992</v>
      </c>
    </row>
    <row r="22" spans="1:4" ht="12.75" hidden="1">
      <c r="A22" s="9" t="s">
        <v>20</v>
      </c>
      <c r="B22" s="13">
        <v>96139.41</v>
      </c>
      <c r="C22" s="13">
        <v>99173.42</v>
      </c>
      <c r="D22" s="8">
        <f t="shared" si="0"/>
        <v>-3034.0099999999948</v>
      </c>
    </row>
    <row r="23" spans="1:4" ht="12.75" hidden="1">
      <c r="A23" s="9" t="s">
        <v>21</v>
      </c>
      <c r="B23" s="13">
        <v>96139.41</v>
      </c>
      <c r="C23" s="13">
        <v>99846.48</v>
      </c>
      <c r="D23" s="13">
        <f t="shared" si="0"/>
        <v>-3707.0699999999924</v>
      </c>
    </row>
    <row r="24" spans="1:4" ht="12.75" hidden="1">
      <c r="A24" s="9" t="s">
        <v>22</v>
      </c>
      <c r="B24" s="13">
        <v>96139.41</v>
      </c>
      <c r="C24" s="13">
        <v>89332.7</v>
      </c>
      <c r="D24" s="13">
        <f t="shared" si="0"/>
        <v>6806.710000000006</v>
      </c>
    </row>
    <row r="25" spans="1:4" ht="12.75" hidden="1">
      <c r="A25" s="9" t="s">
        <v>23</v>
      </c>
      <c r="B25" s="13">
        <v>96139.41</v>
      </c>
      <c r="C25" s="13">
        <v>99121.36</v>
      </c>
      <c r="D25" s="13">
        <f t="shared" si="0"/>
        <v>-2981.949999999997</v>
      </c>
    </row>
    <row r="26" spans="1:4" ht="12.75" hidden="1">
      <c r="A26" s="7" t="s">
        <v>24</v>
      </c>
      <c r="B26" s="8">
        <f>SUM(B27:B38)</f>
        <v>0</v>
      </c>
      <c r="C26" s="8">
        <f>SUM(C27:C38)</f>
        <v>0</v>
      </c>
      <c r="D26" s="8">
        <f>SUM(D27:D38)</f>
        <v>0</v>
      </c>
    </row>
    <row r="27" spans="1:4" ht="12.75" hidden="1">
      <c r="A27" s="9" t="s">
        <v>25</v>
      </c>
      <c r="B27" s="8"/>
      <c r="C27" s="8"/>
      <c r="D27" s="8">
        <f aca="true" t="shared" si="1" ref="D27:D38">B27-C27</f>
        <v>0</v>
      </c>
    </row>
    <row r="28" spans="1:4" ht="12.75" hidden="1">
      <c r="A28" s="9" t="s">
        <v>13</v>
      </c>
      <c r="B28" s="13"/>
      <c r="C28" s="13"/>
      <c r="D28" s="8">
        <f t="shared" si="1"/>
        <v>0</v>
      </c>
    </row>
    <row r="29" spans="1:4" ht="12.75" hidden="1">
      <c r="A29" s="9" t="s">
        <v>14</v>
      </c>
      <c r="B29" s="13"/>
      <c r="C29" s="13"/>
      <c r="D29" s="8">
        <f t="shared" si="1"/>
        <v>0</v>
      </c>
    </row>
    <row r="30" spans="1:4" ht="12.75" hidden="1">
      <c r="A30" s="9" t="s">
        <v>15</v>
      </c>
      <c r="B30" s="13"/>
      <c r="C30" s="13"/>
      <c r="D30" s="8">
        <f t="shared" si="1"/>
        <v>0</v>
      </c>
    </row>
    <row r="31" spans="1:4" ht="12.75" hidden="1">
      <c r="A31" s="9" t="s">
        <v>16</v>
      </c>
      <c r="B31" s="13"/>
      <c r="C31" s="13"/>
      <c r="D31" s="8">
        <f t="shared" si="1"/>
        <v>0</v>
      </c>
    </row>
    <row r="32" spans="1:4" ht="12.75" hidden="1">
      <c r="A32" s="9" t="s">
        <v>17</v>
      </c>
      <c r="B32" s="13"/>
      <c r="C32" s="13"/>
      <c r="D32" s="8">
        <f t="shared" si="1"/>
        <v>0</v>
      </c>
    </row>
    <row r="33" spans="1:4" ht="12.75" hidden="1">
      <c r="A33" s="9" t="s">
        <v>18</v>
      </c>
      <c r="B33" s="13"/>
      <c r="C33" s="13"/>
      <c r="D33" s="8">
        <f t="shared" si="1"/>
        <v>0</v>
      </c>
    </row>
    <row r="34" spans="1:4" ht="12.75" hidden="1">
      <c r="A34" s="9" t="s">
        <v>19</v>
      </c>
      <c r="B34" s="13"/>
      <c r="C34" s="13"/>
      <c r="D34" s="8">
        <f t="shared" si="1"/>
        <v>0</v>
      </c>
    </row>
    <row r="35" spans="1:4" ht="12.75" hidden="1">
      <c r="A35" s="9" t="s">
        <v>20</v>
      </c>
      <c r="B35" s="13"/>
      <c r="C35" s="13"/>
      <c r="D35" s="8">
        <f t="shared" si="1"/>
        <v>0</v>
      </c>
    </row>
    <row r="36" spans="1:4" ht="12.75" hidden="1">
      <c r="A36" s="9" t="s">
        <v>21</v>
      </c>
      <c r="B36" s="13"/>
      <c r="C36" s="13"/>
      <c r="D36" s="13">
        <f t="shared" si="1"/>
        <v>0</v>
      </c>
    </row>
    <row r="37" spans="1:4" ht="12.75" hidden="1">
      <c r="A37" s="9" t="s">
        <v>22</v>
      </c>
      <c r="B37" s="13"/>
      <c r="C37" s="13"/>
      <c r="D37" s="13">
        <f t="shared" si="1"/>
        <v>0</v>
      </c>
    </row>
    <row r="38" spans="1:4" ht="12.75" hidden="1">
      <c r="A38" s="9" t="s">
        <v>23</v>
      </c>
      <c r="B38" s="10"/>
      <c r="C38" s="10"/>
      <c r="D38" s="13">
        <f t="shared" si="1"/>
        <v>0</v>
      </c>
    </row>
    <row r="39" spans="1:4" ht="12.75" hidden="1">
      <c r="A39" s="7" t="s">
        <v>147</v>
      </c>
      <c r="B39" s="13">
        <f>SUM(B40:B49)</f>
        <v>0</v>
      </c>
      <c r="C39" s="13">
        <f>SUM(C40:C49)</f>
        <v>0</v>
      </c>
      <c r="D39" s="13">
        <f>SUM(D40:D49)</f>
        <v>0</v>
      </c>
    </row>
    <row r="40" spans="1:4" ht="12.75" hidden="1">
      <c r="A40" s="9" t="s">
        <v>77</v>
      </c>
      <c r="B40" s="13"/>
      <c r="C40" s="13"/>
      <c r="D40" s="13">
        <f aca="true" t="shared" si="2" ref="D40:D48">B40-C40</f>
        <v>0</v>
      </c>
    </row>
    <row r="41" spans="1:4" ht="12.75" hidden="1">
      <c r="A41" s="9" t="s">
        <v>15</v>
      </c>
      <c r="B41" s="13"/>
      <c r="C41" s="13"/>
      <c r="D41" s="13">
        <f t="shared" si="2"/>
        <v>0</v>
      </c>
    </row>
    <row r="42" spans="1:4" ht="12.75" hidden="1">
      <c r="A42" s="9" t="s">
        <v>16</v>
      </c>
      <c r="B42" s="13"/>
      <c r="C42" s="13"/>
      <c r="D42" s="13">
        <f t="shared" si="2"/>
        <v>0</v>
      </c>
    </row>
    <row r="43" spans="1:4" ht="12.75" hidden="1">
      <c r="A43" s="9" t="s">
        <v>17</v>
      </c>
      <c r="B43" s="13"/>
      <c r="C43" s="13"/>
      <c r="D43" s="13">
        <f t="shared" si="2"/>
        <v>0</v>
      </c>
    </row>
    <row r="44" spans="1:4" ht="12.75" hidden="1">
      <c r="A44" s="9" t="s">
        <v>18</v>
      </c>
      <c r="B44" s="13"/>
      <c r="C44" s="13"/>
      <c r="D44" s="13">
        <f t="shared" si="2"/>
        <v>0</v>
      </c>
    </row>
    <row r="45" spans="1:4" ht="12.75" hidden="1">
      <c r="A45" s="9" t="s">
        <v>19</v>
      </c>
      <c r="B45" s="13"/>
      <c r="C45" s="13"/>
      <c r="D45" s="13">
        <f t="shared" si="2"/>
        <v>0</v>
      </c>
    </row>
    <row r="46" spans="1:4" ht="12.75" hidden="1">
      <c r="A46" s="9" t="s">
        <v>20</v>
      </c>
      <c r="B46" s="13"/>
      <c r="C46" s="13"/>
      <c r="D46" s="13">
        <f t="shared" si="2"/>
        <v>0</v>
      </c>
    </row>
    <row r="47" spans="1:4" ht="12.75" hidden="1">
      <c r="A47" s="9" t="s">
        <v>21</v>
      </c>
      <c r="B47" s="13"/>
      <c r="C47" s="13"/>
      <c r="D47" s="13">
        <f t="shared" si="2"/>
        <v>0</v>
      </c>
    </row>
    <row r="48" spans="1:4" ht="12.75" hidden="1">
      <c r="A48" s="9" t="s">
        <v>22</v>
      </c>
      <c r="B48" s="13"/>
      <c r="C48" s="13"/>
      <c r="D48" s="13">
        <f t="shared" si="2"/>
        <v>0</v>
      </c>
    </row>
    <row r="49" spans="1:4" ht="12.75" hidden="1">
      <c r="A49" s="9" t="s">
        <v>23</v>
      </c>
      <c r="B49" s="13"/>
      <c r="C49" s="13"/>
      <c r="D49" s="13">
        <f>B49-C49</f>
        <v>0</v>
      </c>
    </row>
    <row r="50" spans="1:4" ht="12.75" hidden="1">
      <c r="A50" s="7" t="s">
        <v>73</v>
      </c>
      <c r="B50" s="8">
        <f>SUM(B51:B62)</f>
        <v>0</v>
      </c>
      <c r="C50" s="8">
        <f>SUM(C51:C62)</f>
        <v>0</v>
      </c>
      <c r="D50" s="8">
        <f>SUM(D51:D62)</f>
        <v>0</v>
      </c>
    </row>
    <row r="51" spans="1:4" ht="12.75" hidden="1">
      <c r="A51" s="9" t="s">
        <v>25</v>
      </c>
      <c r="B51" s="8">
        <v>0</v>
      </c>
      <c r="C51" s="8"/>
      <c r="D51" s="8">
        <f aca="true" t="shared" si="3" ref="D51:D57">B51-C51</f>
        <v>0</v>
      </c>
    </row>
    <row r="52" spans="1:4" ht="12.75" hidden="1">
      <c r="A52" s="9" t="s">
        <v>13</v>
      </c>
      <c r="B52" s="13"/>
      <c r="C52" s="13"/>
      <c r="D52" s="8">
        <f t="shared" si="3"/>
        <v>0</v>
      </c>
    </row>
    <row r="53" spans="1:4" ht="12.75" hidden="1">
      <c r="A53" s="9" t="s">
        <v>14</v>
      </c>
      <c r="B53" s="13"/>
      <c r="C53" s="13"/>
      <c r="D53" s="8">
        <f t="shared" si="3"/>
        <v>0</v>
      </c>
    </row>
    <row r="54" spans="1:4" ht="12.75" hidden="1">
      <c r="A54" s="9" t="s">
        <v>15</v>
      </c>
      <c r="B54" s="13"/>
      <c r="C54" s="13"/>
      <c r="D54" s="8">
        <f t="shared" si="3"/>
        <v>0</v>
      </c>
    </row>
    <row r="55" spans="1:4" ht="12.75" hidden="1">
      <c r="A55" s="9" t="s">
        <v>16</v>
      </c>
      <c r="B55" s="13"/>
      <c r="C55" s="13"/>
      <c r="D55" s="8">
        <f t="shared" si="3"/>
        <v>0</v>
      </c>
    </row>
    <row r="56" spans="1:4" ht="12.75" hidden="1">
      <c r="A56" s="9" t="s">
        <v>17</v>
      </c>
      <c r="B56" s="13"/>
      <c r="C56" s="13"/>
      <c r="D56" s="8">
        <f t="shared" si="3"/>
        <v>0</v>
      </c>
    </row>
    <row r="57" spans="1:4" ht="12.75" hidden="1">
      <c r="A57" s="9" t="s">
        <v>18</v>
      </c>
      <c r="B57" s="13"/>
      <c r="C57" s="13"/>
      <c r="D57" s="8">
        <f t="shared" si="3"/>
        <v>0</v>
      </c>
    </row>
    <row r="58" spans="1:4" ht="12.75" hidden="1">
      <c r="A58" s="9" t="s">
        <v>19</v>
      </c>
      <c r="B58" s="8"/>
      <c r="C58" s="8"/>
      <c r="D58" s="8">
        <f>B58-C58</f>
        <v>0</v>
      </c>
    </row>
    <row r="59" spans="1:4" ht="12.75" hidden="1">
      <c r="A59" s="9" t="s">
        <v>20</v>
      </c>
      <c r="B59" s="13"/>
      <c r="C59" s="13"/>
      <c r="D59" s="8">
        <f>B59-C59</f>
        <v>0</v>
      </c>
    </row>
    <row r="60" spans="1:4" ht="12.75" hidden="1">
      <c r="A60" s="9" t="s">
        <v>21</v>
      </c>
      <c r="B60" s="13"/>
      <c r="C60" s="13"/>
      <c r="D60" s="13">
        <f>B60-C60</f>
        <v>0</v>
      </c>
    </row>
    <row r="61" spans="1:4" ht="12.75" hidden="1">
      <c r="A61" s="9" t="s">
        <v>22</v>
      </c>
      <c r="B61" s="13"/>
      <c r="C61" s="13"/>
      <c r="D61" s="13">
        <f>B61-C61</f>
        <v>0</v>
      </c>
    </row>
    <row r="62" spans="1:4" ht="12.75" hidden="1">
      <c r="A62" s="9" t="s">
        <v>23</v>
      </c>
      <c r="B62" s="13"/>
      <c r="C62" s="13"/>
      <c r="D62" s="13">
        <f>B62-C62</f>
        <v>0</v>
      </c>
    </row>
    <row r="63" spans="1:4" ht="12.75">
      <c r="A63" s="9" t="s">
        <v>26</v>
      </c>
      <c r="B63" s="8">
        <f>B13+B26</f>
        <v>1091320.29</v>
      </c>
      <c r="C63" s="8">
        <f>C13+C26</f>
        <v>1093464.86</v>
      </c>
      <c r="D63" s="8">
        <f>D13+D26</f>
        <v>-2144.569999999949</v>
      </c>
    </row>
    <row r="65" spans="1:4" ht="12.75">
      <c r="A65" t="s">
        <v>27</v>
      </c>
      <c r="D65" s="12">
        <f>D63</f>
        <v>-2144.569999999949</v>
      </c>
    </row>
    <row r="67" spans="1:4" ht="12.75">
      <c r="A67" s="11" t="s">
        <v>28</v>
      </c>
      <c r="D67" s="12">
        <f>D68+D69</f>
        <v>83090.163</v>
      </c>
    </row>
    <row r="68" spans="1:4" ht="12.75" hidden="1">
      <c r="A68" s="11" t="s">
        <v>29</v>
      </c>
      <c r="D68" s="12">
        <f>(2.75*2*D5)+(1.1*5*D5)+(1.21*5*D5)</f>
        <v>71083.155</v>
      </c>
    </row>
    <row r="69" spans="1:4" ht="12.75" hidden="1">
      <c r="A69" s="11" t="s">
        <v>30</v>
      </c>
      <c r="D69" s="12">
        <f>(0.24*12*D5)</f>
        <v>12007.008</v>
      </c>
    </row>
    <row r="70" spans="1:4" ht="12.75">
      <c r="A70" s="11" t="s">
        <v>31</v>
      </c>
      <c r="D70" s="12">
        <f>(0.66*2*D5)</f>
        <v>5503.212</v>
      </c>
    </row>
    <row r="71" spans="1:4" ht="12.75">
      <c r="A71" s="11" t="s">
        <v>81</v>
      </c>
      <c r="D71" s="12">
        <f>(0.5*2*D5)+(0.55*5*D5)</f>
        <v>15634.125000000002</v>
      </c>
    </row>
    <row r="72" spans="1:4" ht="12.75">
      <c r="A72" s="11" t="s">
        <v>90</v>
      </c>
      <c r="D72" s="12">
        <f>(2.2*7*D5)+(2.42*5*D5)</f>
        <v>114650.25000000001</v>
      </c>
    </row>
    <row r="73" spans="1:4" ht="12.75" hidden="1">
      <c r="A73" s="11" t="s">
        <v>33</v>
      </c>
      <c r="D73" s="12">
        <v>0</v>
      </c>
    </row>
    <row r="74" spans="1:4" ht="12.75">
      <c r="A74" s="11" t="s">
        <v>80</v>
      </c>
      <c r="D74" s="12">
        <f>(0.72*2*D5)</f>
        <v>6003.504</v>
      </c>
    </row>
    <row r="75" spans="1:4" ht="12.75">
      <c r="A75" s="11" t="s">
        <v>34</v>
      </c>
      <c r="D75" s="12">
        <f>(3.3*2*D5)+(1.2*5*D5)+(1.32*5*D5)</f>
        <v>80046.72</v>
      </c>
    </row>
    <row r="76" spans="1:4" ht="12.75">
      <c r="A76" s="11" t="s">
        <v>35</v>
      </c>
      <c r="D76" s="12">
        <f>(2.2*2*D5)+(4.1*5*D5)+(4.51*5*D5)</f>
        <v>197823.795</v>
      </c>
    </row>
    <row r="77" spans="1:4" ht="12.75">
      <c r="A77" s="11" t="s">
        <v>36</v>
      </c>
      <c r="D77" s="12">
        <f>(0.24*7*D5)+(0.26*5*D5)</f>
        <v>12423.918000000001</v>
      </c>
    </row>
    <row r="78" spans="1:4" ht="12.75">
      <c r="A78" s="11" t="s">
        <v>82</v>
      </c>
      <c r="D78" s="12">
        <f>(0.77*2*D5)+(3.2*5*D5)+(3.52*5*D5)</f>
        <v>146502.17400000003</v>
      </c>
    </row>
    <row r="79" spans="1:4" ht="12.75">
      <c r="A79" s="11" t="s">
        <v>37</v>
      </c>
      <c r="D79" s="12">
        <f>2.25*12*D5</f>
        <v>112565.70000000001</v>
      </c>
    </row>
    <row r="80" spans="1:4" ht="12.75">
      <c r="A80" s="11" t="s">
        <v>38</v>
      </c>
      <c r="D80" s="12">
        <v>458225</v>
      </c>
    </row>
    <row r="81" spans="1:4" ht="12.75">
      <c r="A81" s="11" t="s">
        <v>39</v>
      </c>
      <c r="D81" s="12">
        <f>(1.76*2*D5)+(0.57*5*D5)+(0.64*5*D5)</f>
        <v>39898.287000000004</v>
      </c>
    </row>
    <row r="82" spans="1:4" ht="12.75" hidden="1">
      <c r="A82" s="15" t="s">
        <v>65</v>
      </c>
      <c r="D82" s="12">
        <v>0</v>
      </c>
    </row>
    <row r="83" spans="1:7" ht="12.75">
      <c r="A83" s="11" t="s">
        <v>67</v>
      </c>
      <c r="D83" s="12">
        <f>(3.85*7*D5)+(3.5*0*D5)+(4.24*5*D5)</f>
        <v>200742.16500000004</v>
      </c>
      <c r="G83" s="17"/>
    </row>
    <row r="84" spans="1:7" ht="12.75">
      <c r="A84" s="11"/>
      <c r="D84" s="12"/>
      <c r="G84" s="18"/>
    </row>
    <row r="85" spans="1:7" ht="12.75">
      <c r="A85" s="11" t="s">
        <v>40</v>
      </c>
      <c r="D85" s="12">
        <f>D67+D70+D72+D73+D75+D76+D77+D78+D79+D80+D81+D82+D83-D82</f>
        <v>1451471.384</v>
      </c>
      <c r="G85" s="18"/>
    </row>
    <row r="86" spans="1:7" ht="12.75">
      <c r="A86" s="11"/>
      <c r="D86" s="12"/>
      <c r="G86" s="18"/>
    </row>
    <row r="87" spans="1:7" ht="12.75">
      <c r="A87" t="s">
        <v>69</v>
      </c>
      <c r="D87" s="12">
        <f>C63-D85</f>
        <v>-358006.524</v>
      </c>
      <c r="G87" s="18"/>
    </row>
    <row r="88" ht="12.75">
      <c r="G88" s="18"/>
    </row>
    <row r="89" spans="4:7" ht="12.75">
      <c r="D89" s="12"/>
      <c r="G89" s="18"/>
    </row>
    <row r="90" ht="12.75">
      <c r="G90" s="18"/>
    </row>
    <row r="91" ht="12.75">
      <c r="G91" s="18"/>
    </row>
    <row r="92" ht="12.75">
      <c r="G92" s="18"/>
    </row>
    <row r="93" ht="12.75">
      <c r="G93" s="18"/>
    </row>
    <row r="94" ht="12.75">
      <c r="C94" s="17"/>
    </row>
    <row r="95" ht="12.75">
      <c r="A95" s="17"/>
    </row>
    <row r="96" ht="12.75">
      <c r="A96" s="18"/>
    </row>
    <row r="97" ht="12.75">
      <c r="A97" s="18"/>
    </row>
    <row r="98" spans="1:3" ht="12.75">
      <c r="A98" s="18"/>
      <c r="C98" s="17"/>
    </row>
    <row r="99" spans="1:3" ht="12.75">
      <c r="A99" s="18"/>
      <c r="C99" s="18"/>
    </row>
    <row r="100" spans="1:3" ht="12.75">
      <c r="A100" s="18"/>
      <c r="C100" s="18"/>
    </row>
    <row r="101" spans="1:3" ht="12.75">
      <c r="A101" s="18"/>
      <c r="C101" s="18"/>
    </row>
    <row r="102" spans="1:3" ht="12.75">
      <c r="A102" s="18"/>
      <c r="C102" s="18"/>
    </row>
    <row r="103" spans="1:3" ht="12.75">
      <c r="A103" s="18"/>
      <c r="C103" s="18"/>
    </row>
    <row r="104" spans="1:3" ht="12.75">
      <c r="A104" s="18"/>
      <c r="C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</sheetData>
  <sheetProtection/>
  <printOptions/>
  <pageMargins left="0.7480314960629921" right="0.7480314960629921" top="0.1968503937007874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/>
  <dimension ref="A2:G80"/>
  <sheetViews>
    <sheetView zoomScalePageLayoutView="0" workbookViewId="0" topLeftCell="A7">
      <selection activeCell="G71" sqref="G71:J81"/>
    </sheetView>
  </sheetViews>
  <sheetFormatPr defaultColWidth="9.140625" defaultRowHeight="12.75"/>
  <cols>
    <col min="1" max="1" width="14.00390625" style="0" customWidth="1"/>
    <col min="2" max="2" width="15.00390625" style="0" customWidth="1"/>
    <col min="3" max="3" width="15.7109375" style="0" customWidth="1"/>
    <col min="4" max="4" width="18.28125" style="0" customWidth="1"/>
  </cols>
  <sheetData>
    <row r="2" spans="1:7" ht="12.75">
      <c r="A2" s="1" t="s">
        <v>0</v>
      </c>
      <c r="B2" s="2" t="s">
        <v>1</v>
      </c>
      <c r="C2" s="1" t="s">
        <v>63</v>
      </c>
      <c r="D2" s="1"/>
      <c r="E2" s="1" t="s">
        <v>2</v>
      </c>
      <c r="F2" s="3">
        <v>5</v>
      </c>
      <c r="G2">
        <v>2015</v>
      </c>
    </row>
    <row r="4" spans="1:5" ht="12.75">
      <c r="A4" t="s">
        <v>3</v>
      </c>
      <c r="D4" s="4">
        <v>4232.4</v>
      </c>
      <c r="E4" s="5" t="s">
        <v>41</v>
      </c>
    </row>
    <row r="5" spans="1:5" ht="12.75">
      <c r="A5" t="s">
        <v>4</v>
      </c>
      <c r="D5" s="4">
        <v>72</v>
      </c>
      <c r="E5" s="5"/>
    </row>
    <row r="6" spans="1:5" ht="12.75">
      <c r="A6" t="s">
        <v>5</v>
      </c>
      <c r="D6" s="4">
        <v>159</v>
      </c>
      <c r="E6" s="5" t="s">
        <v>6</v>
      </c>
    </row>
    <row r="7" spans="1:5" ht="12.75">
      <c r="A7" t="s">
        <v>7</v>
      </c>
      <c r="C7" t="s">
        <v>71</v>
      </c>
      <c r="D7" s="4">
        <v>494.4</v>
      </c>
      <c r="E7" s="5" t="s">
        <v>41</v>
      </c>
    </row>
    <row r="8" spans="1:5" ht="12.75">
      <c r="A8" t="s">
        <v>8</v>
      </c>
      <c r="D8" s="4">
        <v>2299</v>
      </c>
      <c r="E8" s="5" t="s">
        <v>41</v>
      </c>
    </row>
    <row r="11" spans="2:4" ht="12.75">
      <c r="B11" s="6" t="s">
        <v>9</v>
      </c>
      <c r="C11" s="6" t="s">
        <v>10</v>
      </c>
      <c r="D11" s="6" t="s">
        <v>11</v>
      </c>
    </row>
    <row r="12" spans="1:4" ht="12.75">
      <c r="A12" s="7" t="s">
        <v>12</v>
      </c>
      <c r="B12" s="8">
        <f>SUM(B13:B24)</f>
        <v>1082307.3599999999</v>
      </c>
      <c r="C12" s="8">
        <f>SUM(C13:C24)</f>
        <v>1151978.43</v>
      </c>
      <c r="D12" s="8">
        <f>SUM(D13:D24)</f>
        <v>-69671.06999999996</v>
      </c>
    </row>
    <row r="13" spans="1:4" ht="12.75" customHeight="1" hidden="1">
      <c r="A13" s="9" t="s">
        <v>25</v>
      </c>
      <c r="B13" s="8">
        <v>88710.94</v>
      </c>
      <c r="C13" s="8">
        <v>71230.79</v>
      </c>
      <c r="D13" s="8">
        <f aca="true" t="shared" si="0" ref="D13:D24">B13-C13</f>
        <v>17480.15000000001</v>
      </c>
    </row>
    <row r="14" spans="1:4" ht="12.75" customHeight="1" hidden="1">
      <c r="A14" s="9" t="s">
        <v>13</v>
      </c>
      <c r="B14" s="8">
        <v>88710.94</v>
      </c>
      <c r="C14" s="13">
        <v>73455.22</v>
      </c>
      <c r="D14" s="8">
        <f t="shared" si="0"/>
        <v>15255.720000000001</v>
      </c>
    </row>
    <row r="15" spans="1:4" ht="12.75" customHeight="1" hidden="1">
      <c r="A15" s="9" t="s">
        <v>14</v>
      </c>
      <c r="B15" s="8">
        <v>88710.94</v>
      </c>
      <c r="C15" s="13">
        <v>167175.68</v>
      </c>
      <c r="D15" s="8">
        <f t="shared" si="0"/>
        <v>-78464.73999999999</v>
      </c>
    </row>
    <row r="16" spans="1:4" ht="12.75" customHeight="1" hidden="1">
      <c r="A16" s="9" t="s">
        <v>15</v>
      </c>
      <c r="B16" s="8">
        <v>88710.94</v>
      </c>
      <c r="C16" s="13">
        <v>92218.92</v>
      </c>
      <c r="D16" s="8">
        <f t="shared" si="0"/>
        <v>-3507.979999999996</v>
      </c>
    </row>
    <row r="17" spans="1:4" ht="12.75" customHeight="1" hidden="1">
      <c r="A17" s="9" t="s">
        <v>16</v>
      </c>
      <c r="B17" s="8">
        <v>88710.94</v>
      </c>
      <c r="C17" s="13">
        <v>75449.56</v>
      </c>
      <c r="D17" s="8">
        <f t="shared" si="0"/>
        <v>13261.380000000005</v>
      </c>
    </row>
    <row r="18" spans="1:4" ht="12.75" customHeight="1" hidden="1">
      <c r="A18" s="9" t="s">
        <v>17</v>
      </c>
      <c r="B18" s="8">
        <v>88710.94</v>
      </c>
      <c r="C18" s="13">
        <v>96232.92</v>
      </c>
      <c r="D18" s="8">
        <f t="shared" si="0"/>
        <v>-7521.979999999996</v>
      </c>
    </row>
    <row r="19" spans="1:4" ht="12.75" customHeight="1" hidden="1">
      <c r="A19" s="9" t="s">
        <v>18</v>
      </c>
      <c r="B19" s="8">
        <v>88710.94</v>
      </c>
      <c r="C19" s="13">
        <v>90707.48</v>
      </c>
      <c r="D19" s="8">
        <f t="shared" si="0"/>
        <v>-1996.5399999999936</v>
      </c>
    </row>
    <row r="20" spans="1:4" ht="12.75" customHeight="1" hidden="1">
      <c r="A20" s="9" t="s">
        <v>19</v>
      </c>
      <c r="B20" s="13">
        <v>97598.98</v>
      </c>
      <c r="C20" s="13">
        <v>95684.57</v>
      </c>
      <c r="D20" s="8">
        <f t="shared" si="0"/>
        <v>1914.409999999989</v>
      </c>
    </row>
    <row r="21" spans="1:4" ht="12.75" customHeight="1" hidden="1">
      <c r="A21" s="9" t="s">
        <v>20</v>
      </c>
      <c r="B21" s="13">
        <v>97598.98</v>
      </c>
      <c r="C21" s="13">
        <v>87268.42</v>
      </c>
      <c r="D21" s="8">
        <f t="shared" si="0"/>
        <v>10330.559999999998</v>
      </c>
    </row>
    <row r="22" spans="1:4" ht="12.75" customHeight="1" hidden="1">
      <c r="A22" s="9" t="s">
        <v>21</v>
      </c>
      <c r="B22" s="13">
        <v>88710.94</v>
      </c>
      <c r="C22" s="13">
        <v>113036.65</v>
      </c>
      <c r="D22" s="13">
        <f t="shared" si="0"/>
        <v>-24325.709999999992</v>
      </c>
    </row>
    <row r="23" spans="1:4" ht="12.75" customHeight="1" hidden="1">
      <c r="A23" s="9" t="s">
        <v>22</v>
      </c>
      <c r="B23" s="13">
        <v>88710.94</v>
      </c>
      <c r="C23" s="13">
        <v>96024.5</v>
      </c>
      <c r="D23" s="13">
        <f t="shared" si="0"/>
        <v>-7313.559999999998</v>
      </c>
    </row>
    <row r="24" spans="1:4" ht="12.75" customHeight="1" hidden="1">
      <c r="A24" s="9" t="s">
        <v>23</v>
      </c>
      <c r="B24" s="13">
        <v>88710.94</v>
      </c>
      <c r="C24" s="13">
        <v>93493.72</v>
      </c>
      <c r="D24" s="13">
        <f t="shared" si="0"/>
        <v>-4782.779999999999</v>
      </c>
    </row>
    <row r="25" spans="1:4" ht="12.75" customHeight="1" hidden="1">
      <c r="A25" s="7" t="s">
        <v>24</v>
      </c>
      <c r="B25" s="8">
        <f>SUM(B26:B37)</f>
        <v>0</v>
      </c>
      <c r="C25" s="8">
        <f>SUM(C26:C37)</f>
        <v>0</v>
      </c>
      <c r="D25" s="8">
        <f>SUM(D26:D37)</f>
        <v>0</v>
      </c>
    </row>
    <row r="26" spans="1:4" ht="12.75" customHeight="1" hidden="1">
      <c r="A26" s="9" t="s">
        <v>25</v>
      </c>
      <c r="B26" s="8"/>
      <c r="C26" s="8"/>
      <c r="D26" s="8">
        <f aca="true" t="shared" si="1" ref="D26:D37">B26-C26</f>
        <v>0</v>
      </c>
    </row>
    <row r="27" spans="1:4" ht="12.75" customHeight="1" hidden="1">
      <c r="A27" s="9" t="s">
        <v>13</v>
      </c>
      <c r="B27" s="13"/>
      <c r="C27" s="13"/>
      <c r="D27" s="8">
        <f t="shared" si="1"/>
        <v>0</v>
      </c>
    </row>
    <row r="28" spans="1:4" ht="12.75" customHeight="1" hidden="1">
      <c r="A28" s="9" t="s">
        <v>14</v>
      </c>
      <c r="B28" s="13"/>
      <c r="C28" s="13"/>
      <c r="D28" s="8">
        <f t="shared" si="1"/>
        <v>0</v>
      </c>
    </row>
    <row r="29" spans="1:4" ht="12.75" customHeight="1" hidden="1">
      <c r="A29" s="9" t="s">
        <v>15</v>
      </c>
      <c r="B29" s="13"/>
      <c r="C29" s="13"/>
      <c r="D29" s="8">
        <f t="shared" si="1"/>
        <v>0</v>
      </c>
    </row>
    <row r="30" spans="1:4" ht="12.75" customHeight="1" hidden="1">
      <c r="A30" s="9" t="s">
        <v>16</v>
      </c>
      <c r="B30" s="13"/>
      <c r="C30" s="13"/>
      <c r="D30" s="8">
        <f t="shared" si="1"/>
        <v>0</v>
      </c>
    </row>
    <row r="31" spans="1:4" ht="12.75" customHeight="1" hidden="1">
      <c r="A31" s="9" t="s">
        <v>17</v>
      </c>
      <c r="B31" s="13"/>
      <c r="C31" s="13"/>
      <c r="D31" s="8">
        <f t="shared" si="1"/>
        <v>0</v>
      </c>
    </row>
    <row r="32" spans="1:4" ht="12.75" customHeight="1" hidden="1">
      <c r="A32" s="9" t="s">
        <v>18</v>
      </c>
      <c r="B32" s="13"/>
      <c r="C32" s="13"/>
      <c r="D32" s="8">
        <f t="shared" si="1"/>
        <v>0</v>
      </c>
    </row>
    <row r="33" spans="1:4" ht="12.75" customHeight="1" hidden="1">
      <c r="A33" s="9" t="s">
        <v>19</v>
      </c>
      <c r="B33" s="13"/>
      <c r="C33" s="13"/>
      <c r="D33" s="8">
        <f t="shared" si="1"/>
        <v>0</v>
      </c>
    </row>
    <row r="34" spans="1:4" ht="12.75" customHeight="1" hidden="1">
      <c r="A34" s="9" t="s">
        <v>20</v>
      </c>
      <c r="B34" s="13"/>
      <c r="C34" s="13"/>
      <c r="D34" s="8">
        <f t="shared" si="1"/>
        <v>0</v>
      </c>
    </row>
    <row r="35" spans="1:4" ht="12.75" customHeight="1" hidden="1">
      <c r="A35" s="9" t="s">
        <v>21</v>
      </c>
      <c r="B35" s="13"/>
      <c r="C35" s="13"/>
      <c r="D35" s="13">
        <f t="shared" si="1"/>
        <v>0</v>
      </c>
    </row>
    <row r="36" spans="1:4" ht="12.75" customHeight="1" hidden="1">
      <c r="A36" s="9" t="s">
        <v>22</v>
      </c>
      <c r="B36" s="13"/>
      <c r="C36" s="13"/>
      <c r="D36" s="13">
        <f t="shared" si="1"/>
        <v>0</v>
      </c>
    </row>
    <row r="37" spans="1:4" ht="12.75" customHeight="1" hidden="1">
      <c r="A37" s="9" t="s">
        <v>23</v>
      </c>
      <c r="B37" s="10"/>
      <c r="C37" s="10"/>
      <c r="D37" s="13">
        <f t="shared" si="1"/>
        <v>0</v>
      </c>
    </row>
    <row r="38" spans="1:4" ht="12.75" customHeight="1" hidden="1">
      <c r="A38" s="7"/>
      <c r="B38" s="13"/>
      <c r="C38" s="13"/>
      <c r="D38" s="13">
        <f>SUM(D39:D40)</f>
        <v>0</v>
      </c>
    </row>
    <row r="39" spans="1:4" ht="12.75" customHeight="1" hidden="1">
      <c r="A39" s="9"/>
      <c r="B39" s="13"/>
      <c r="C39" s="13"/>
      <c r="D39" s="13">
        <f>B39-C39</f>
        <v>0</v>
      </c>
    </row>
    <row r="40" spans="1:4" ht="12.75" customHeight="1" hidden="1">
      <c r="A40" s="9"/>
      <c r="B40" s="13"/>
      <c r="C40" s="13"/>
      <c r="D40" s="13">
        <f>B40-C40</f>
        <v>0</v>
      </c>
    </row>
    <row r="41" spans="1:4" ht="12.75" customHeight="1" hidden="1">
      <c r="A41" s="7" t="s">
        <v>147</v>
      </c>
      <c r="B41" s="8">
        <f>SUM(B42:B53)</f>
        <v>0</v>
      </c>
      <c r="C41" s="8">
        <f>SUM(C42:C53)</f>
        <v>0</v>
      </c>
      <c r="D41" s="8">
        <f>SUM(D42:D53)</f>
        <v>0</v>
      </c>
    </row>
    <row r="42" spans="1:4" ht="12.75" customHeight="1" hidden="1">
      <c r="A42" s="9" t="s">
        <v>25</v>
      </c>
      <c r="B42" s="8">
        <v>0</v>
      </c>
      <c r="C42" s="8"/>
      <c r="D42" s="8">
        <f aca="true" t="shared" si="2" ref="D42:D53">B42-C42</f>
        <v>0</v>
      </c>
    </row>
    <row r="43" spans="1:4" ht="12.75" customHeight="1" hidden="1">
      <c r="A43" s="9" t="s">
        <v>13</v>
      </c>
      <c r="B43" s="13"/>
      <c r="C43" s="13"/>
      <c r="D43" s="8">
        <f t="shared" si="2"/>
        <v>0</v>
      </c>
    </row>
    <row r="44" spans="1:4" ht="12.75" customHeight="1" hidden="1">
      <c r="A44" s="9" t="s">
        <v>14</v>
      </c>
      <c r="B44" s="13"/>
      <c r="C44" s="13"/>
      <c r="D44" s="8">
        <f t="shared" si="2"/>
        <v>0</v>
      </c>
    </row>
    <row r="45" spans="1:4" ht="12.75" customHeight="1" hidden="1">
      <c r="A45" s="9" t="s">
        <v>15</v>
      </c>
      <c r="B45" s="13"/>
      <c r="C45" s="13"/>
      <c r="D45" s="8">
        <f t="shared" si="2"/>
        <v>0</v>
      </c>
    </row>
    <row r="46" spans="1:4" ht="12.75" customHeight="1" hidden="1">
      <c r="A46" s="9" t="s">
        <v>16</v>
      </c>
      <c r="B46" s="13"/>
      <c r="C46" s="13"/>
      <c r="D46" s="8">
        <f t="shared" si="2"/>
        <v>0</v>
      </c>
    </row>
    <row r="47" spans="1:4" ht="12.75" customHeight="1" hidden="1">
      <c r="A47" s="9" t="s">
        <v>17</v>
      </c>
      <c r="B47" s="13"/>
      <c r="C47" s="13"/>
      <c r="D47" s="8">
        <f t="shared" si="2"/>
        <v>0</v>
      </c>
    </row>
    <row r="48" spans="1:4" ht="12.75" customHeight="1" hidden="1">
      <c r="A48" s="9" t="s">
        <v>18</v>
      </c>
      <c r="B48" s="13"/>
      <c r="C48" s="13"/>
      <c r="D48" s="8">
        <f t="shared" si="2"/>
        <v>0</v>
      </c>
    </row>
    <row r="49" spans="1:4" ht="12.75" customHeight="1" hidden="1">
      <c r="A49" s="9" t="s">
        <v>19</v>
      </c>
      <c r="B49" s="13"/>
      <c r="C49" s="13"/>
      <c r="D49" s="8">
        <f t="shared" si="2"/>
        <v>0</v>
      </c>
    </row>
    <row r="50" spans="1:4" ht="12.75" customHeight="1" hidden="1">
      <c r="A50" s="9" t="s">
        <v>20</v>
      </c>
      <c r="B50" s="13"/>
      <c r="C50" s="13"/>
      <c r="D50" s="8">
        <f t="shared" si="2"/>
        <v>0</v>
      </c>
    </row>
    <row r="51" spans="1:4" ht="12.75" customHeight="1" hidden="1">
      <c r="A51" s="9" t="s">
        <v>21</v>
      </c>
      <c r="B51" s="13"/>
      <c r="C51" s="13"/>
      <c r="D51" s="8">
        <f t="shared" si="2"/>
        <v>0</v>
      </c>
    </row>
    <row r="52" spans="1:4" ht="12.75" customHeight="1" hidden="1">
      <c r="A52" s="9" t="s">
        <v>22</v>
      </c>
      <c r="B52" s="13"/>
      <c r="C52" s="13"/>
      <c r="D52" s="8">
        <f t="shared" si="2"/>
        <v>0</v>
      </c>
    </row>
    <row r="53" spans="1:4" ht="12.75" customHeight="1" hidden="1">
      <c r="A53" s="9" t="s">
        <v>23</v>
      </c>
      <c r="B53" s="13"/>
      <c r="C53" s="13"/>
      <c r="D53" s="8">
        <f t="shared" si="2"/>
        <v>0</v>
      </c>
    </row>
    <row r="54" spans="1:4" ht="12.75">
      <c r="A54" s="9" t="s">
        <v>26</v>
      </c>
      <c r="B54" s="8">
        <f>B12+B25+B38+B41-B41</f>
        <v>1082307.3599999999</v>
      </c>
      <c r="C54" s="8">
        <f>C12+C25+C38+C41-C38-C41</f>
        <v>1151978.43</v>
      </c>
      <c r="D54" s="8">
        <f>D12+D25+D38+D41-D38-D41</f>
        <v>-69671.06999999996</v>
      </c>
    </row>
    <row r="56" spans="1:4" ht="12.75">
      <c r="A56" t="s">
        <v>27</v>
      </c>
      <c r="D56" s="12">
        <f>D54</f>
        <v>-69671.06999999996</v>
      </c>
    </row>
    <row r="58" spans="1:4" ht="12.75">
      <c r="A58" s="11" t="s">
        <v>28</v>
      </c>
      <c r="D58" s="12">
        <f>D59+D60</f>
        <v>84351.73199999999</v>
      </c>
    </row>
    <row r="59" spans="1:4" ht="12.75" hidden="1">
      <c r="A59" s="11" t="s">
        <v>29</v>
      </c>
      <c r="D59" s="12">
        <f>(2.75*2*D4)+(1.1*5*D4)+(1.21*5*D4)</f>
        <v>72162.41999999998</v>
      </c>
    </row>
    <row r="60" spans="1:4" ht="12.75" hidden="1">
      <c r="A60" s="11" t="s">
        <v>30</v>
      </c>
      <c r="D60" s="12">
        <f>(0.24*12*D4)</f>
        <v>12189.311999999998</v>
      </c>
    </row>
    <row r="61" spans="1:4" ht="12.75">
      <c r="A61" s="11" t="s">
        <v>31</v>
      </c>
      <c r="D61" s="12">
        <f>(0.66*2*D4)</f>
        <v>5586.768</v>
      </c>
    </row>
    <row r="62" spans="1:4" ht="12.75">
      <c r="A62" s="11" t="s">
        <v>81</v>
      </c>
      <c r="D62" s="12">
        <f>(0.5*1*D4)+(0.55*1*D4)+(0.6*5*D4)</f>
        <v>17141.22</v>
      </c>
    </row>
    <row r="63" spans="1:4" ht="12.75">
      <c r="A63" s="11" t="s">
        <v>90</v>
      </c>
      <c r="D63" s="12">
        <f>(2.2*7*D4)+(2.42*5*D4)</f>
        <v>116391</v>
      </c>
    </row>
    <row r="64" spans="1:4" ht="12.75" hidden="1">
      <c r="A64" s="11" t="s">
        <v>33</v>
      </c>
      <c r="D64" s="12">
        <v>0</v>
      </c>
    </row>
    <row r="65" spans="1:4" ht="12.75">
      <c r="A65" s="11" t="s">
        <v>80</v>
      </c>
      <c r="D65" s="12">
        <f>(0.72*2*D4)</f>
        <v>6094.655999999999</v>
      </c>
    </row>
    <row r="66" spans="1:4" ht="12.75">
      <c r="A66" s="11" t="s">
        <v>34</v>
      </c>
      <c r="D66" s="12">
        <f>(3.3*2*D4)+(1.2*5*D4)+(1.32*5*D4)</f>
        <v>81262.07999999999</v>
      </c>
    </row>
    <row r="67" spans="1:4" ht="12.75">
      <c r="A67" s="11" t="s">
        <v>35</v>
      </c>
      <c r="D67" s="12">
        <f>(2.2*2*D4)+(4.1*5*D4)+(4.51*5*D4)</f>
        <v>200827.37999999998</v>
      </c>
    </row>
    <row r="68" spans="1:4" ht="12.75">
      <c r="A68" s="11" t="s">
        <v>36</v>
      </c>
      <c r="D68" s="12">
        <f>(0.24*7*D4)+(0.26*5*D4)</f>
        <v>12612.552</v>
      </c>
    </row>
    <row r="69" spans="1:4" ht="12.75">
      <c r="A69" s="11" t="s">
        <v>82</v>
      </c>
      <c r="D69" s="12">
        <f>(0.77*2*D4)+(3.2*5*D4)+(3.52*5*D4)</f>
        <v>148726.536</v>
      </c>
    </row>
    <row r="70" spans="1:4" ht="12.75">
      <c r="A70" s="11" t="s">
        <v>37</v>
      </c>
      <c r="D70" s="12">
        <f>2.25*12*D5</f>
        <v>1944</v>
      </c>
    </row>
    <row r="71" spans="1:4" ht="12.75">
      <c r="A71" s="11" t="s">
        <v>38</v>
      </c>
      <c r="D71" s="12">
        <v>6614</v>
      </c>
    </row>
    <row r="72" spans="1:4" ht="12.75">
      <c r="A72" s="11" t="s">
        <v>39</v>
      </c>
      <c r="D72" s="12">
        <f>(1.76*2*D4)+(0.57*5*D4)+(0.64*5*D4)</f>
        <v>40504.068</v>
      </c>
    </row>
    <row r="73" spans="1:4" ht="12.75" hidden="1">
      <c r="A73" s="15" t="s">
        <v>65</v>
      </c>
      <c r="D73" s="12">
        <v>0</v>
      </c>
    </row>
    <row r="74" spans="1:7" ht="12.75">
      <c r="A74" s="11" t="s">
        <v>67</v>
      </c>
      <c r="D74" s="12">
        <f>(3.85*7*D4)+(3.5*0*D4)+(4.24*5*D4)</f>
        <v>203790.06</v>
      </c>
      <c r="G74" s="17"/>
    </row>
    <row r="75" spans="1:7" ht="12.75">
      <c r="A75" s="11"/>
      <c r="D75" s="12"/>
      <c r="G75" s="18"/>
    </row>
    <row r="76" spans="1:7" ht="12.75">
      <c r="A76" s="11" t="s">
        <v>40</v>
      </c>
      <c r="D76" s="12">
        <f>D58+D61+D62+D63+D65+D66+D67+D68+D69+D70+D71+D72+D74</f>
        <v>925846.0519999999</v>
      </c>
      <c r="G76" s="18"/>
    </row>
    <row r="77" spans="1:7" ht="12.75">
      <c r="A77" s="11"/>
      <c r="D77" s="12"/>
      <c r="G77" s="18"/>
    </row>
    <row r="78" spans="1:7" ht="12.75">
      <c r="A78" t="s">
        <v>69</v>
      </c>
      <c r="D78" s="12">
        <f>C54-D76</f>
        <v>226132.37800000003</v>
      </c>
      <c r="G78" s="18"/>
    </row>
    <row r="80" ht="12.75">
      <c r="D8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9"/>
  <dimension ref="A3:G73"/>
  <sheetViews>
    <sheetView zoomScalePageLayoutView="0" workbookViewId="0" topLeftCell="A1">
      <selection activeCell="F56" sqref="F56"/>
    </sheetView>
  </sheetViews>
  <sheetFormatPr defaultColWidth="9.140625" defaultRowHeight="12.75"/>
  <cols>
    <col min="1" max="1" width="15.57421875" style="0" customWidth="1"/>
    <col min="2" max="2" width="14.140625" style="0" customWidth="1"/>
    <col min="3" max="3" width="14.57421875" style="0" customWidth="1"/>
    <col min="4" max="4" width="13.421875" style="0" customWidth="1"/>
  </cols>
  <sheetData>
    <row r="3" spans="1:7" ht="12.75">
      <c r="A3" s="1" t="s">
        <v>0</v>
      </c>
      <c r="B3" s="2" t="s">
        <v>1</v>
      </c>
      <c r="C3" s="1" t="s">
        <v>50</v>
      </c>
      <c r="D3" s="1"/>
      <c r="E3" s="1" t="s">
        <v>2</v>
      </c>
      <c r="F3" s="16" t="s">
        <v>74</v>
      </c>
      <c r="G3">
        <v>2015</v>
      </c>
    </row>
    <row r="5" spans="1:5" ht="12.75">
      <c r="A5" t="s">
        <v>3</v>
      </c>
      <c r="D5" s="4">
        <v>2800.7</v>
      </c>
      <c r="E5" s="5" t="s">
        <v>41</v>
      </c>
    </row>
    <row r="6" spans="1:5" ht="12.75">
      <c r="A6" t="s">
        <v>4</v>
      </c>
      <c r="D6" s="4">
        <v>60</v>
      </c>
      <c r="E6" s="5"/>
    </row>
    <row r="7" spans="1:5" ht="12.75">
      <c r="A7" t="s">
        <v>5</v>
      </c>
      <c r="D7" s="4">
        <v>131</v>
      </c>
      <c r="E7" s="5" t="s">
        <v>6</v>
      </c>
    </row>
    <row r="8" spans="1:5" ht="12.75">
      <c r="A8" t="s">
        <v>7</v>
      </c>
      <c r="D8" s="4">
        <v>303</v>
      </c>
      <c r="E8" s="5" t="s">
        <v>41</v>
      </c>
    </row>
    <row r="9" spans="1:5" ht="12.75">
      <c r="A9" t="s">
        <v>8</v>
      </c>
      <c r="D9" s="4">
        <v>1407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638002.01</v>
      </c>
      <c r="C13" s="8">
        <f>SUM(C14:C25)</f>
        <v>683700.53</v>
      </c>
      <c r="D13" s="8">
        <f>SUM(D14:D25)</f>
        <v>-45698.52000000001</v>
      </c>
    </row>
    <row r="14" spans="1:4" ht="12.75" hidden="1">
      <c r="A14" s="9" t="s">
        <v>25</v>
      </c>
      <c r="B14" s="8">
        <v>51044.63</v>
      </c>
      <c r="C14" s="8">
        <v>52948.23</v>
      </c>
      <c r="D14" s="8">
        <f aca="true" t="shared" si="0" ref="D14:D21">B14-C14</f>
        <v>-1903.6000000000058</v>
      </c>
    </row>
    <row r="15" spans="1:4" ht="12.75" hidden="1">
      <c r="A15" s="9" t="s">
        <v>13</v>
      </c>
      <c r="B15" s="8">
        <v>51044.63</v>
      </c>
      <c r="C15" s="13">
        <v>39167.86</v>
      </c>
      <c r="D15" s="8">
        <f t="shared" si="0"/>
        <v>11876.769999999997</v>
      </c>
    </row>
    <row r="16" spans="1:4" ht="12.75" hidden="1">
      <c r="A16" s="9" t="s">
        <v>14</v>
      </c>
      <c r="B16" s="8">
        <v>51044.63</v>
      </c>
      <c r="C16" s="13">
        <v>98801.15</v>
      </c>
      <c r="D16" s="8">
        <f t="shared" si="0"/>
        <v>-47756.52</v>
      </c>
    </row>
    <row r="17" spans="1:4" ht="12.75" hidden="1">
      <c r="A17" s="9" t="s">
        <v>15</v>
      </c>
      <c r="B17" s="8">
        <v>51044.63</v>
      </c>
      <c r="C17" s="13">
        <v>44874.49</v>
      </c>
      <c r="D17" s="8">
        <f t="shared" si="0"/>
        <v>6170.139999999999</v>
      </c>
    </row>
    <row r="18" spans="1:4" ht="12.75" hidden="1">
      <c r="A18" s="9" t="s">
        <v>16</v>
      </c>
      <c r="B18" s="8">
        <v>51044.63</v>
      </c>
      <c r="C18" s="13">
        <v>42150.53</v>
      </c>
      <c r="D18" s="8">
        <f t="shared" si="0"/>
        <v>8894.099999999999</v>
      </c>
    </row>
    <row r="19" spans="1:4" ht="12.75" hidden="1">
      <c r="A19" s="9" t="s">
        <v>17</v>
      </c>
      <c r="B19" s="8">
        <v>51044.63</v>
      </c>
      <c r="C19" s="13">
        <v>57575.23</v>
      </c>
      <c r="D19" s="8">
        <f t="shared" si="0"/>
        <v>-6530.600000000006</v>
      </c>
    </row>
    <row r="20" spans="1:4" ht="12.75" hidden="1">
      <c r="A20" s="9" t="s">
        <v>18</v>
      </c>
      <c r="B20" s="8">
        <v>51044.63</v>
      </c>
      <c r="C20" s="13">
        <v>52248.21</v>
      </c>
      <c r="D20" s="8">
        <f t="shared" si="0"/>
        <v>-1203.5800000000017</v>
      </c>
    </row>
    <row r="21" spans="1:4" ht="12.75" hidden="1">
      <c r="A21" s="9" t="s">
        <v>19</v>
      </c>
      <c r="B21" s="13">
        <v>56137.92</v>
      </c>
      <c r="C21" s="13">
        <v>53654.67</v>
      </c>
      <c r="D21" s="8">
        <f t="shared" si="0"/>
        <v>2483.25</v>
      </c>
    </row>
    <row r="22" spans="1:4" ht="12.75" hidden="1">
      <c r="A22" s="9" t="s">
        <v>20</v>
      </c>
      <c r="B22" s="13">
        <v>56137.92</v>
      </c>
      <c r="C22" s="13">
        <v>52857.35</v>
      </c>
      <c r="D22" s="8">
        <f>B22-C22</f>
        <v>3280.5699999999997</v>
      </c>
    </row>
    <row r="23" spans="1:4" ht="12.75" hidden="1">
      <c r="A23" s="9" t="s">
        <v>21</v>
      </c>
      <c r="B23" s="13">
        <v>56137.92</v>
      </c>
      <c r="C23" s="13">
        <v>51560.27</v>
      </c>
      <c r="D23" s="13">
        <f>B23-C23</f>
        <v>4577.6500000000015</v>
      </c>
    </row>
    <row r="24" spans="1:4" ht="12.75" hidden="1">
      <c r="A24" s="9" t="s">
        <v>22</v>
      </c>
      <c r="B24" s="13">
        <v>56137.92</v>
      </c>
      <c r="C24" s="13">
        <v>85170.51</v>
      </c>
      <c r="D24" s="13">
        <f>B24-C24</f>
        <v>-29032.589999999997</v>
      </c>
    </row>
    <row r="25" spans="1:4" ht="12.75" hidden="1">
      <c r="A25" s="9" t="s">
        <v>23</v>
      </c>
      <c r="B25" s="13">
        <v>56137.92</v>
      </c>
      <c r="C25" s="13">
        <v>52692.03</v>
      </c>
      <c r="D25" s="13">
        <f>B25-C25</f>
        <v>3445.8899999999994</v>
      </c>
    </row>
    <row r="26" spans="1:4" ht="12.75">
      <c r="A26" s="7" t="s">
        <v>24</v>
      </c>
      <c r="B26" s="8">
        <f>SUM(B27:B38)</f>
        <v>79.80000000000001</v>
      </c>
      <c r="C26" s="8">
        <f>SUM(C27:C38)</f>
        <v>94.75000000000001</v>
      </c>
      <c r="D26" s="8">
        <f>SUM(D27:D38)</f>
        <v>-14.95</v>
      </c>
    </row>
    <row r="27" spans="1:4" ht="12.75" hidden="1">
      <c r="A27" s="9" t="s">
        <v>25</v>
      </c>
      <c r="B27" s="8">
        <v>6.65</v>
      </c>
      <c r="C27" s="8">
        <v>6.71</v>
      </c>
      <c r="D27" s="8">
        <f aca="true" t="shared" si="1" ref="D27:D38">B27-C27</f>
        <v>-0.05999999999999961</v>
      </c>
    </row>
    <row r="28" spans="1:4" ht="12.75" hidden="1">
      <c r="A28" s="9" t="s">
        <v>13</v>
      </c>
      <c r="B28" s="8">
        <v>6.65</v>
      </c>
      <c r="C28" s="8">
        <v>6.7</v>
      </c>
      <c r="D28" s="8">
        <f t="shared" si="1"/>
        <v>-0.04999999999999982</v>
      </c>
    </row>
    <row r="29" spans="1:4" ht="12.75" hidden="1">
      <c r="A29" s="9" t="s">
        <v>14</v>
      </c>
      <c r="B29" s="8">
        <v>6.65</v>
      </c>
      <c r="C29" s="8">
        <v>6.69</v>
      </c>
      <c r="D29" s="8">
        <f t="shared" si="1"/>
        <v>-0.040000000000000036</v>
      </c>
    </row>
    <row r="30" spans="1:4" ht="12.75" hidden="1">
      <c r="A30" s="9" t="s">
        <v>15</v>
      </c>
      <c r="B30" s="8">
        <v>6.65</v>
      </c>
      <c r="C30" s="13">
        <v>2.57</v>
      </c>
      <c r="D30" s="8">
        <f t="shared" si="1"/>
        <v>4.08</v>
      </c>
    </row>
    <row r="31" spans="1:4" ht="12.75" hidden="1">
      <c r="A31" s="9" t="s">
        <v>16</v>
      </c>
      <c r="B31" s="8">
        <v>6.65</v>
      </c>
      <c r="C31" s="13">
        <v>21.48</v>
      </c>
      <c r="D31" s="8">
        <f t="shared" si="1"/>
        <v>-14.83</v>
      </c>
    </row>
    <row r="32" spans="1:4" ht="12.75" hidden="1">
      <c r="A32" s="9" t="s">
        <v>17</v>
      </c>
      <c r="B32" s="8">
        <v>6.65</v>
      </c>
      <c r="C32" s="13">
        <v>10.73</v>
      </c>
      <c r="D32" s="8">
        <f t="shared" si="1"/>
        <v>-4.08</v>
      </c>
    </row>
    <row r="33" spans="1:4" ht="12.75" hidden="1">
      <c r="A33" s="9" t="s">
        <v>18</v>
      </c>
      <c r="B33" s="8">
        <v>6.65</v>
      </c>
      <c r="C33" s="13">
        <v>4.05</v>
      </c>
      <c r="D33" s="8">
        <f t="shared" si="1"/>
        <v>2.6000000000000005</v>
      </c>
    </row>
    <row r="34" spans="1:4" ht="12.75" hidden="1">
      <c r="A34" s="9" t="s">
        <v>19</v>
      </c>
      <c r="B34" s="8">
        <v>6.65</v>
      </c>
      <c r="C34" s="13">
        <v>9.22</v>
      </c>
      <c r="D34" s="8">
        <f t="shared" si="1"/>
        <v>-2.5700000000000003</v>
      </c>
    </row>
    <row r="35" spans="1:4" ht="12.75" hidden="1">
      <c r="A35" s="9" t="s">
        <v>20</v>
      </c>
      <c r="B35" s="8">
        <v>6.65</v>
      </c>
      <c r="C35" s="8">
        <v>6.65</v>
      </c>
      <c r="D35" s="8">
        <f t="shared" si="1"/>
        <v>0</v>
      </c>
    </row>
    <row r="36" spans="1:4" ht="12.75" hidden="1">
      <c r="A36" s="9" t="s">
        <v>21</v>
      </c>
      <c r="B36" s="8">
        <v>6.65</v>
      </c>
      <c r="C36" s="13">
        <v>2.57</v>
      </c>
      <c r="D36" s="13">
        <f t="shared" si="1"/>
        <v>4.08</v>
      </c>
    </row>
    <row r="37" spans="1:4" ht="12.75" hidden="1">
      <c r="A37" s="9" t="s">
        <v>22</v>
      </c>
      <c r="B37" s="8">
        <v>6.65</v>
      </c>
      <c r="C37" s="13">
        <v>10.73</v>
      </c>
      <c r="D37" s="13">
        <f t="shared" si="1"/>
        <v>-4.08</v>
      </c>
    </row>
    <row r="38" spans="1:4" ht="12.75" hidden="1">
      <c r="A38" s="9" t="s">
        <v>23</v>
      </c>
      <c r="B38" s="8">
        <v>6.65</v>
      </c>
      <c r="C38" s="8">
        <v>6.65</v>
      </c>
      <c r="D38" s="13">
        <f t="shared" si="1"/>
        <v>0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147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17</v>
      </c>
      <c r="B43" s="8"/>
      <c r="C43" s="8"/>
      <c r="D43" s="8">
        <f>B43-C43</f>
        <v>0</v>
      </c>
    </row>
    <row r="44" spans="1:4" ht="12.75" hidden="1">
      <c r="A44" s="9" t="s">
        <v>18</v>
      </c>
      <c r="B44" s="13"/>
      <c r="C44" s="13"/>
      <c r="D44" s="8">
        <f>B44-C44</f>
        <v>0</v>
      </c>
    </row>
    <row r="45" spans="1:4" ht="12.75" hidden="1">
      <c r="A45" s="9" t="s">
        <v>19</v>
      </c>
      <c r="B45" s="13"/>
      <c r="C45" s="13"/>
      <c r="D45" s="13">
        <f>B45-C45</f>
        <v>0</v>
      </c>
    </row>
    <row r="46" spans="1:4" ht="12.75" hidden="1">
      <c r="A46" s="9" t="s">
        <v>20</v>
      </c>
      <c r="B46" s="13"/>
      <c r="C46" s="13"/>
      <c r="D46" s="13">
        <f>B46-C46</f>
        <v>0</v>
      </c>
    </row>
    <row r="47" spans="1:4" ht="12.75" hidden="1">
      <c r="A47" s="9" t="s">
        <v>21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638081.81</v>
      </c>
      <c r="C48" s="8">
        <f>C13+C26</f>
        <v>683795.28</v>
      </c>
      <c r="D48" s="8">
        <f>D13+D26</f>
        <v>-45713.47000000001</v>
      </c>
    </row>
    <row r="50" spans="1:4" ht="12.75">
      <c r="A50" t="s">
        <v>27</v>
      </c>
      <c r="D50" s="12">
        <f>D48</f>
        <v>-45713.47000000001</v>
      </c>
    </row>
    <row r="52" spans="1:4" ht="12.75">
      <c r="A52" s="11" t="s">
        <v>28</v>
      </c>
      <c r="D52" s="12">
        <f>D53+D54</f>
        <v>55817.951</v>
      </c>
    </row>
    <row r="53" spans="1:4" ht="12.75" hidden="1">
      <c r="A53" s="11" t="s">
        <v>29</v>
      </c>
      <c r="D53" s="12">
        <f>(2.75*2*D5)+(1.1*5*D5)+(1.21*5*D5)</f>
        <v>47751.935</v>
      </c>
    </row>
    <row r="54" spans="1:4" ht="12.75" hidden="1">
      <c r="A54" s="11" t="s">
        <v>30</v>
      </c>
      <c r="D54" s="12">
        <f>(0.24*12*D5)</f>
        <v>8066.016</v>
      </c>
    </row>
    <row r="55" spans="1:4" ht="12.75">
      <c r="A55" s="11" t="s">
        <v>31</v>
      </c>
      <c r="D55" s="12">
        <f>(0.66*2*D5)</f>
        <v>3696.924</v>
      </c>
    </row>
    <row r="56" spans="1:4" ht="12.75">
      <c r="A56" s="11" t="s">
        <v>81</v>
      </c>
      <c r="D56" s="12">
        <f>(0.5*2*D5)+(0.55*5*D5)+(0.6*5*D5)</f>
        <v>18904.725</v>
      </c>
    </row>
    <row r="57" spans="1:4" ht="12.75">
      <c r="A57" s="11" t="s">
        <v>90</v>
      </c>
      <c r="D57" s="12">
        <f>(2.2*7*D5)+(2.42*5*D5)</f>
        <v>77019.25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4033.008</v>
      </c>
    </row>
    <row r="60" spans="1:4" ht="12.75">
      <c r="A60" s="11" t="s">
        <v>34</v>
      </c>
      <c r="D60" s="12">
        <f>(3.3*2*D5)+(1.2*5*D5)+(1.32*5*D5)</f>
        <v>53773.43999999999</v>
      </c>
    </row>
    <row r="61" spans="1:4" ht="12.75">
      <c r="A61" s="11" t="s">
        <v>35</v>
      </c>
      <c r="D61" s="12">
        <f>(2.2*2*D5)+(4.1*5*D5)+(4.51*5*D5)</f>
        <v>132893.21499999997</v>
      </c>
    </row>
    <row r="62" spans="1:4" ht="12.75">
      <c r="A62" s="11" t="s">
        <v>36</v>
      </c>
      <c r="D62" s="12">
        <f>(0.24*7*D5)+(0.26*5*D5)</f>
        <v>8346.086</v>
      </c>
    </row>
    <row r="63" spans="1:4" ht="12.75">
      <c r="A63" s="11" t="s">
        <v>82</v>
      </c>
      <c r="D63" s="12">
        <f>(0.77*2*D5)+(3.2*5*D5)+(3.52*5*D5)</f>
        <v>98416.598</v>
      </c>
    </row>
    <row r="64" spans="1:4" ht="12.75">
      <c r="A64" s="11" t="s">
        <v>37</v>
      </c>
      <c r="D64" s="12">
        <f>2.25*12*D6</f>
        <v>1620</v>
      </c>
    </row>
    <row r="65" spans="1:4" ht="12.75">
      <c r="A65" s="11" t="s">
        <v>38</v>
      </c>
      <c r="D65" s="12">
        <v>141523</v>
      </c>
    </row>
    <row r="66" spans="1:4" ht="12.75">
      <c r="A66" s="11" t="s">
        <v>39</v>
      </c>
      <c r="D66" s="12">
        <f>(1.76*2*D5)+(0.75*5*D5)+(0.83*5*D5)</f>
        <v>31983.994</v>
      </c>
    </row>
    <row r="67" spans="1:4" ht="12.75">
      <c r="A67" s="15" t="s">
        <v>65</v>
      </c>
      <c r="D67" s="12">
        <v>0</v>
      </c>
    </row>
    <row r="68" spans="1:4" ht="12.75">
      <c r="A68" s="11"/>
      <c r="D68" s="12"/>
    </row>
    <row r="69" spans="1:4" ht="12.75">
      <c r="A69" s="11" t="s">
        <v>40</v>
      </c>
      <c r="D69" s="12">
        <f>D52+D55+D56+D57+D58+D59+D60+D61+D62+D63+D64+D65+D66</f>
        <v>628028.1909999999</v>
      </c>
    </row>
    <row r="70" spans="1:4" ht="12.75">
      <c r="A70" s="11"/>
      <c r="D70" s="12"/>
    </row>
    <row r="71" spans="1:4" ht="12.75">
      <c r="A71" t="s">
        <v>68</v>
      </c>
      <c r="D71" s="12">
        <f>C48-D69</f>
        <v>55767.08900000015</v>
      </c>
    </row>
    <row r="73" ht="12.75">
      <c r="D7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0"/>
  <dimension ref="A2:G73"/>
  <sheetViews>
    <sheetView zoomScalePageLayoutView="0" workbookViewId="0" topLeftCell="A7">
      <selection activeCell="G64" sqref="G64:K73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4.57421875" style="0" customWidth="1"/>
    <col min="4" max="4" width="15.8515625" style="0" customWidth="1"/>
  </cols>
  <sheetData>
    <row r="1" ht="27.75" customHeight="1"/>
    <row r="2" spans="1:7" ht="12.75">
      <c r="A2" s="1" t="s">
        <v>0</v>
      </c>
      <c r="B2" s="2" t="s">
        <v>1</v>
      </c>
      <c r="C2" s="1" t="s">
        <v>50</v>
      </c>
      <c r="D2" s="1"/>
      <c r="E2" s="1" t="s">
        <v>2</v>
      </c>
      <c r="F2" s="3">
        <v>32</v>
      </c>
      <c r="G2">
        <v>2015</v>
      </c>
    </row>
    <row r="4" spans="1:5" ht="12.75">
      <c r="A4" t="s">
        <v>3</v>
      </c>
      <c r="D4" s="4">
        <v>6779.1</v>
      </c>
      <c r="E4" s="5" t="s">
        <v>41</v>
      </c>
    </row>
    <row r="5" spans="1:5" ht="12.75">
      <c r="A5" t="s">
        <v>4</v>
      </c>
      <c r="D5" s="4">
        <v>119</v>
      </c>
      <c r="E5" s="5"/>
    </row>
    <row r="6" spans="1:5" ht="12.75">
      <c r="A6" t="s">
        <v>5</v>
      </c>
      <c r="D6" s="4">
        <v>266</v>
      </c>
      <c r="E6" s="5" t="s">
        <v>6</v>
      </c>
    </row>
    <row r="7" spans="1:5" ht="12.75">
      <c r="A7" t="s">
        <v>7</v>
      </c>
      <c r="C7" t="s">
        <v>70</v>
      </c>
      <c r="D7" s="4">
        <v>1124</v>
      </c>
      <c r="E7" s="5" t="s">
        <v>41</v>
      </c>
    </row>
    <row r="8" spans="1:5" ht="12.75">
      <c r="A8" t="s">
        <v>8</v>
      </c>
      <c r="D8" s="4">
        <v>6351</v>
      </c>
      <c r="E8" s="5" t="s">
        <v>41</v>
      </c>
    </row>
    <row r="11" spans="2:4" ht="12.75">
      <c r="B11" s="6" t="s">
        <v>9</v>
      </c>
      <c r="C11" s="6" t="s">
        <v>10</v>
      </c>
      <c r="D11" s="6" t="s">
        <v>11</v>
      </c>
    </row>
    <row r="12" spans="1:4" ht="12.75">
      <c r="A12" s="7" t="s">
        <v>12</v>
      </c>
      <c r="B12" s="8">
        <f>SUM(B13:B24)</f>
        <v>1778905.6100000003</v>
      </c>
      <c r="C12" s="8">
        <f>SUM(C13:C24)</f>
        <v>1806335.6600000001</v>
      </c>
      <c r="D12" s="8">
        <f>SUM(D13:D24)</f>
        <v>-27430.050000000047</v>
      </c>
    </row>
    <row r="13" spans="1:4" ht="12.75" hidden="1">
      <c r="A13" s="9" t="s">
        <v>25</v>
      </c>
      <c r="B13" s="8">
        <v>142089.99</v>
      </c>
      <c r="C13" s="8">
        <v>132144.91</v>
      </c>
      <c r="D13" s="8">
        <f aca="true" t="shared" si="0" ref="D13:D24">B13-C13</f>
        <v>9945.079999999987</v>
      </c>
    </row>
    <row r="14" spans="1:4" ht="12.75" hidden="1">
      <c r="A14" s="9" t="s">
        <v>13</v>
      </c>
      <c r="B14" s="8">
        <v>142089.99</v>
      </c>
      <c r="C14" s="13">
        <v>129733.62</v>
      </c>
      <c r="D14" s="8">
        <f t="shared" si="0"/>
        <v>12356.369999999995</v>
      </c>
    </row>
    <row r="15" spans="1:4" ht="12.75" hidden="1">
      <c r="A15" s="9" t="s">
        <v>14</v>
      </c>
      <c r="B15" s="8">
        <v>142089.99</v>
      </c>
      <c r="C15" s="13">
        <v>190695.13</v>
      </c>
      <c r="D15" s="8">
        <f t="shared" si="0"/>
        <v>-48605.140000000014</v>
      </c>
    </row>
    <row r="16" spans="1:4" ht="12.75" hidden="1">
      <c r="A16" s="9" t="s">
        <v>15</v>
      </c>
      <c r="B16" s="8">
        <v>142089.99</v>
      </c>
      <c r="C16" s="13">
        <v>145731.4</v>
      </c>
      <c r="D16" s="8">
        <f t="shared" si="0"/>
        <v>-3641.4100000000035</v>
      </c>
    </row>
    <row r="17" spans="1:4" ht="12.75" hidden="1">
      <c r="A17" s="9" t="s">
        <v>16</v>
      </c>
      <c r="B17" s="8">
        <v>142089.99</v>
      </c>
      <c r="C17" s="13">
        <v>130560.41</v>
      </c>
      <c r="D17" s="8">
        <f t="shared" si="0"/>
        <v>11529.579999999987</v>
      </c>
    </row>
    <row r="18" spans="1:4" ht="12.75" hidden="1">
      <c r="A18" s="9" t="s">
        <v>17</v>
      </c>
      <c r="B18" s="8">
        <v>142089.99</v>
      </c>
      <c r="C18" s="13">
        <v>144742</v>
      </c>
      <c r="D18" s="8">
        <f t="shared" si="0"/>
        <v>-2652.0100000000093</v>
      </c>
    </row>
    <row r="19" spans="1:4" ht="12.75" hidden="1">
      <c r="A19" s="9" t="s">
        <v>18</v>
      </c>
      <c r="B19" s="8">
        <v>142089.99</v>
      </c>
      <c r="C19" s="13">
        <v>122767.38</v>
      </c>
      <c r="D19" s="8">
        <f t="shared" si="0"/>
        <v>19322.609999999986</v>
      </c>
    </row>
    <row r="20" spans="1:4" ht="12.75" hidden="1">
      <c r="A20" s="9" t="s">
        <v>19</v>
      </c>
      <c r="B20" s="13">
        <f>156326.1+2645.18</f>
        <v>158971.28</v>
      </c>
      <c r="C20" s="13">
        <v>158568.62</v>
      </c>
      <c r="D20" s="8">
        <f t="shared" si="0"/>
        <v>402.6600000000035</v>
      </c>
    </row>
    <row r="21" spans="1:4" ht="12.75" hidden="1">
      <c r="A21" s="9" t="s">
        <v>20</v>
      </c>
      <c r="B21" s="13">
        <v>156326.1</v>
      </c>
      <c r="C21" s="13">
        <v>159284.5</v>
      </c>
      <c r="D21" s="8">
        <f t="shared" si="0"/>
        <v>-2958.399999999994</v>
      </c>
    </row>
    <row r="22" spans="1:4" ht="12.75" hidden="1">
      <c r="A22" s="9" t="s">
        <v>21</v>
      </c>
      <c r="B22" s="13">
        <v>156326.1</v>
      </c>
      <c r="C22" s="13">
        <v>165980.84</v>
      </c>
      <c r="D22" s="13">
        <f t="shared" si="0"/>
        <v>-9654.73999999999</v>
      </c>
    </row>
    <row r="23" spans="1:4" ht="12.75" hidden="1">
      <c r="A23" s="9" t="s">
        <v>22</v>
      </c>
      <c r="B23" s="13">
        <v>156326.1</v>
      </c>
      <c r="C23" s="13">
        <v>168238.62</v>
      </c>
      <c r="D23" s="13">
        <f t="shared" si="0"/>
        <v>-11912.51999999999</v>
      </c>
    </row>
    <row r="24" spans="1:4" ht="12.75" hidden="1">
      <c r="A24" s="9" t="s">
        <v>23</v>
      </c>
      <c r="B24" s="13">
        <v>156326.1</v>
      </c>
      <c r="C24" s="13">
        <v>157888.23</v>
      </c>
      <c r="D24" s="13">
        <f t="shared" si="0"/>
        <v>-1562.1300000000047</v>
      </c>
    </row>
    <row r="25" spans="1:4" ht="12.75">
      <c r="A25" s="7" t="s">
        <v>24</v>
      </c>
      <c r="B25" s="8">
        <f>SUM(B26:B37)</f>
        <v>211.80000000000004</v>
      </c>
      <c r="C25" s="8">
        <f>SUM(C26:C37)</f>
        <v>211.90999999999997</v>
      </c>
      <c r="D25" s="8">
        <f>SUM(D26:D37)</f>
        <v>-0.1100000000000172</v>
      </c>
    </row>
    <row r="26" spans="1:4" ht="12.75" hidden="1">
      <c r="A26" s="9" t="s">
        <v>25</v>
      </c>
      <c r="B26" s="8">
        <v>17.65</v>
      </c>
      <c r="C26" s="8">
        <v>17.65</v>
      </c>
      <c r="D26" s="8">
        <f aca="true" t="shared" si="1" ref="D26:D37">B26-C26</f>
        <v>0</v>
      </c>
    </row>
    <row r="27" spans="1:4" ht="12.75" hidden="1">
      <c r="A27" s="9" t="s">
        <v>13</v>
      </c>
      <c r="B27" s="8">
        <v>17.65</v>
      </c>
      <c r="C27" s="13">
        <v>13.23</v>
      </c>
      <c r="D27" s="8">
        <f t="shared" si="1"/>
        <v>4.419999999999998</v>
      </c>
    </row>
    <row r="28" spans="1:4" ht="12.75" hidden="1">
      <c r="A28" s="9" t="s">
        <v>14</v>
      </c>
      <c r="B28" s="8">
        <v>17.65</v>
      </c>
      <c r="C28" s="13">
        <v>8.8</v>
      </c>
      <c r="D28" s="8">
        <f t="shared" si="1"/>
        <v>8.849999999999998</v>
      </c>
    </row>
    <row r="29" spans="1:4" ht="12.75" hidden="1">
      <c r="A29" s="9" t="s">
        <v>15</v>
      </c>
      <c r="B29" s="8">
        <v>17.65</v>
      </c>
      <c r="C29" s="13">
        <v>30.92</v>
      </c>
      <c r="D29" s="8">
        <f t="shared" si="1"/>
        <v>-13.270000000000003</v>
      </c>
    </row>
    <row r="30" spans="1:4" ht="12.75" hidden="1">
      <c r="A30" s="9" t="s">
        <v>16</v>
      </c>
      <c r="B30" s="8">
        <v>17.65</v>
      </c>
      <c r="C30" s="13">
        <v>13.23</v>
      </c>
      <c r="D30" s="8">
        <f t="shared" si="1"/>
        <v>4.419999999999998</v>
      </c>
    </row>
    <row r="31" spans="1:4" ht="12.75" hidden="1">
      <c r="A31" s="9" t="s">
        <v>17</v>
      </c>
      <c r="B31" s="8">
        <v>17.65</v>
      </c>
      <c r="C31" s="13">
        <v>13.23</v>
      </c>
      <c r="D31" s="8">
        <f t="shared" si="1"/>
        <v>4.419999999999998</v>
      </c>
    </row>
    <row r="32" spans="1:4" ht="12.75" hidden="1">
      <c r="A32" s="9" t="s">
        <v>18</v>
      </c>
      <c r="B32" s="8">
        <v>17.65</v>
      </c>
      <c r="C32" s="13">
        <v>26.47</v>
      </c>
      <c r="D32" s="8">
        <f t="shared" si="1"/>
        <v>-8.82</v>
      </c>
    </row>
    <row r="33" spans="1:4" ht="12.75" hidden="1">
      <c r="A33" s="9" t="s">
        <v>19</v>
      </c>
      <c r="B33" s="8">
        <v>17.65</v>
      </c>
      <c r="C33" s="13">
        <v>13.27</v>
      </c>
      <c r="D33" s="8">
        <f t="shared" si="1"/>
        <v>4.379999999999999</v>
      </c>
    </row>
    <row r="34" spans="1:4" ht="12.75" hidden="1">
      <c r="A34" s="9" t="s">
        <v>20</v>
      </c>
      <c r="B34" s="8">
        <v>17.65</v>
      </c>
      <c r="C34" s="13">
        <v>22.04</v>
      </c>
      <c r="D34" s="8">
        <f t="shared" si="1"/>
        <v>-4.390000000000001</v>
      </c>
    </row>
    <row r="35" spans="1:4" ht="12.75" hidden="1">
      <c r="A35" s="9" t="s">
        <v>21</v>
      </c>
      <c r="B35" s="8">
        <v>17.65</v>
      </c>
      <c r="C35" s="13">
        <v>13.23</v>
      </c>
      <c r="D35" s="13">
        <f t="shared" si="1"/>
        <v>4.419999999999998</v>
      </c>
    </row>
    <row r="36" spans="1:4" ht="12.75" hidden="1">
      <c r="A36" s="9" t="s">
        <v>22</v>
      </c>
      <c r="B36" s="8">
        <v>17.65</v>
      </c>
      <c r="C36" s="13">
        <v>13.23</v>
      </c>
      <c r="D36" s="13">
        <f t="shared" si="1"/>
        <v>4.419999999999998</v>
      </c>
    </row>
    <row r="37" spans="1:4" ht="12.75" hidden="1">
      <c r="A37" s="9" t="s">
        <v>23</v>
      </c>
      <c r="B37" s="8">
        <v>17.65</v>
      </c>
      <c r="C37" s="13">
        <v>26.61</v>
      </c>
      <c r="D37" s="13">
        <f t="shared" si="1"/>
        <v>-8.96</v>
      </c>
    </row>
    <row r="38" spans="1:4" ht="12.75" hidden="1">
      <c r="A38" s="7" t="s">
        <v>42</v>
      </c>
      <c r="B38" s="13">
        <f>B39+B40</f>
        <v>0</v>
      </c>
      <c r="C38" s="13">
        <f>C39+C40</f>
        <v>0</v>
      </c>
      <c r="D38" s="13">
        <f>SUM(D39:D40)</f>
        <v>0</v>
      </c>
    </row>
    <row r="39" spans="1:4" ht="12.75" hidden="1">
      <c r="A39" s="9" t="s">
        <v>22</v>
      </c>
      <c r="B39" s="13"/>
      <c r="C39" s="13"/>
      <c r="D39" s="13">
        <f>B39-C39</f>
        <v>0</v>
      </c>
    </row>
    <row r="40" spans="1:4" ht="12.75" hidden="1">
      <c r="A40" s="9" t="s">
        <v>23</v>
      </c>
      <c r="B40" s="13"/>
      <c r="C40" s="13"/>
      <c r="D40" s="13">
        <f>B40-C40</f>
        <v>0</v>
      </c>
    </row>
    <row r="41" spans="1:4" ht="12.75" hidden="1">
      <c r="A41" s="7" t="s">
        <v>147</v>
      </c>
      <c r="B41" s="13">
        <f>B42+B43+B44+B45+B46</f>
        <v>0</v>
      </c>
      <c r="C41" s="13">
        <f>C42+C43+C44+C45+C46</f>
        <v>0</v>
      </c>
      <c r="D41" s="13">
        <f>SUM(D42:D46)</f>
        <v>0</v>
      </c>
    </row>
    <row r="42" spans="1:4" ht="12.75" hidden="1">
      <c r="A42" s="9" t="s">
        <v>19</v>
      </c>
      <c r="B42" s="8"/>
      <c r="C42" s="8"/>
      <c r="D42" s="8">
        <f>B42-C42</f>
        <v>0</v>
      </c>
    </row>
    <row r="43" spans="1:4" ht="12.75" hidden="1">
      <c r="A43" s="9" t="s">
        <v>20</v>
      </c>
      <c r="B43" s="13"/>
      <c r="C43" s="13"/>
      <c r="D43" s="8">
        <f>B43-C43</f>
        <v>0</v>
      </c>
    </row>
    <row r="44" spans="1:4" ht="12.75" hidden="1">
      <c r="A44" s="9" t="s">
        <v>21</v>
      </c>
      <c r="B44" s="13"/>
      <c r="C44" s="13"/>
      <c r="D44" s="13">
        <f>B44-C44</f>
        <v>0</v>
      </c>
    </row>
    <row r="45" spans="1:4" ht="12.75" hidden="1">
      <c r="A45" s="9" t="s">
        <v>22</v>
      </c>
      <c r="B45" s="13"/>
      <c r="C45" s="13"/>
      <c r="D45" s="13">
        <f>B45-C45</f>
        <v>0</v>
      </c>
    </row>
    <row r="46" spans="1:4" ht="12.75" hidden="1">
      <c r="A46" s="9" t="s">
        <v>23</v>
      </c>
      <c r="B46" s="13"/>
      <c r="C46" s="13"/>
      <c r="D46" s="13">
        <f>B46-C46</f>
        <v>0</v>
      </c>
    </row>
    <row r="47" spans="1:4" ht="12.75">
      <c r="A47" s="9" t="s">
        <v>26</v>
      </c>
      <c r="B47" s="8">
        <f>B12+B25</f>
        <v>1779117.4100000004</v>
      </c>
      <c r="C47" s="8">
        <f>C12+C25</f>
        <v>1806547.57</v>
      </c>
      <c r="D47" s="8">
        <f>D12+D25</f>
        <v>-27430.160000000047</v>
      </c>
    </row>
    <row r="49" spans="1:4" ht="12.75">
      <c r="A49" t="s">
        <v>27</v>
      </c>
      <c r="D49" s="12">
        <f>D47</f>
        <v>-27430.160000000047</v>
      </c>
    </row>
    <row r="51" spans="1:4" ht="12.75">
      <c r="A51" s="11" t="s">
        <v>28</v>
      </c>
      <c r="D51" s="12">
        <f>D52+D53</f>
        <v>135107.463</v>
      </c>
    </row>
    <row r="52" spans="1:4" ht="12.75" hidden="1">
      <c r="A52" s="11" t="s">
        <v>29</v>
      </c>
      <c r="D52" s="12">
        <f>(2.75*2*D4)+(1.1*5*D4)+(1.21*5*D4)</f>
        <v>115583.655</v>
      </c>
    </row>
    <row r="53" spans="1:4" ht="12.75" hidden="1">
      <c r="A53" s="11" t="s">
        <v>30</v>
      </c>
      <c r="D53" s="12">
        <f>(0.24*12*D4)</f>
        <v>19523.808</v>
      </c>
    </row>
    <row r="54" spans="1:4" ht="12.75">
      <c r="A54" s="11" t="s">
        <v>31</v>
      </c>
      <c r="D54" s="12">
        <f>(0.66*2*D4)</f>
        <v>8948.412</v>
      </c>
    </row>
    <row r="55" spans="1:4" ht="12.75">
      <c r="A55" s="11" t="s">
        <v>81</v>
      </c>
      <c r="D55" s="12">
        <f>(0.5*2*D4)+(0.55*5*D4)+(0.6*5*D4)</f>
        <v>45758.925</v>
      </c>
    </row>
    <row r="56" spans="1:4" ht="12.75">
      <c r="A56" s="11" t="s">
        <v>90</v>
      </c>
      <c r="D56" s="12">
        <f>(2.2*7*D4)+(2.42*5*D4)</f>
        <v>186425.25</v>
      </c>
    </row>
    <row r="57" spans="1:4" ht="12.75" hidden="1">
      <c r="A57" s="11" t="s">
        <v>33</v>
      </c>
      <c r="D57" s="12">
        <v>0</v>
      </c>
    </row>
    <row r="58" spans="1:4" ht="12.75">
      <c r="A58" s="11" t="s">
        <v>80</v>
      </c>
      <c r="D58" s="12">
        <f>(0.72*2*D4)</f>
        <v>9761.904</v>
      </c>
    </row>
    <row r="59" spans="1:4" ht="12.75">
      <c r="A59" s="11" t="s">
        <v>34</v>
      </c>
      <c r="D59" s="12">
        <f>(3.3*2*D4)+(1.2*5*D4)+(1.32*5*D4)</f>
        <v>130158.72</v>
      </c>
    </row>
    <row r="60" spans="1:4" ht="12.75">
      <c r="A60" s="11" t="s">
        <v>35</v>
      </c>
      <c r="D60" s="12">
        <f>(2.2*2*D4)+(4.1*5*D4)+(4.51*5*D4)</f>
        <v>321668.29500000004</v>
      </c>
    </row>
    <row r="61" spans="1:4" ht="12.75">
      <c r="A61" s="11" t="s">
        <v>36</v>
      </c>
      <c r="D61" s="12">
        <f>(0.24*7*D4)+(0.26*5*D4)</f>
        <v>20201.718</v>
      </c>
    </row>
    <row r="62" spans="1:4" ht="12.75">
      <c r="A62" s="11" t="s">
        <v>82</v>
      </c>
      <c r="D62" s="12">
        <f>(0.77*2*D4)+(3.2*5*D4)+(3.52*5*D4)</f>
        <v>238217.57400000002</v>
      </c>
    </row>
    <row r="63" spans="1:4" ht="12.75">
      <c r="A63" s="11" t="s">
        <v>37</v>
      </c>
      <c r="D63" s="12">
        <f>2.25*12*D5</f>
        <v>3213</v>
      </c>
    </row>
    <row r="64" spans="1:4" ht="12.75">
      <c r="A64" s="11" t="s">
        <v>38</v>
      </c>
      <c r="D64" s="12">
        <v>89635</v>
      </c>
    </row>
    <row r="65" spans="1:7" ht="12.75">
      <c r="A65" s="11" t="s">
        <v>39</v>
      </c>
      <c r="D65" s="12">
        <f>(1.76*2*D4)+(0.57*5*D4)+(0.64*5*D4)</f>
        <v>64875.987</v>
      </c>
      <c r="G65" s="18"/>
    </row>
    <row r="66" spans="1:4" ht="12.75" hidden="1">
      <c r="A66" s="15" t="s">
        <v>65</v>
      </c>
      <c r="D66" s="12">
        <v>0</v>
      </c>
    </row>
    <row r="67" spans="1:4" ht="12.75">
      <c r="A67" s="11" t="s">
        <v>67</v>
      </c>
      <c r="D67" s="12">
        <f>(3.85*7*D4)+(3.5*0*D4)+(4.24*5*D4)</f>
        <v>326413.66500000004</v>
      </c>
    </row>
    <row r="68" spans="1:4" ht="12.75">
      <c r="A68" s="11"/>
      <c r="D68" s="12"/>
    </row>
    <row r="69" spans="1:7" ht="12.75">
      <c r="A69" s="11" t="s">
        <v>40</v>
      </c>
      <c r="D69" s="12">
        <f>D51+D54+D56+D57+D59+D60+D61+D62+D63+D64+D65+D66+D67-D66+D55+D58</f>
        <v>1580385.9130000002</v>
      </c>
      <c r="G69" s="17"/>
    </row>
    <row r="70" spans="1:7" ht="12.75">
      <c r="A70" s="11"/>
      <c r="D70" s="12"/>
      <c r="G70" s="18"/>
    </row>
    <row r="71" spans="1:7" ht="12.75">
      <c r="A71" t="s">
        <v>69</v>
      </c>
      <c r="D71" s="12">
        <f>C47-D69</f>
        <v>226161.6569999999</v>
      </c>
      <c r="G71" s="18"/>
    </row>
    <row r="73" ht="12.75">
      <c r="D7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2"/>
  <dimension ref="A2:G86"/>
  <sheetViews>
    <sheetView zoomScalePageLayoutView="0" workbookViewId="0" topLeftCell="A1">
      <selection activeCell="G63" sqref="G63:L93"/>
    </sheetView>
  </sheetViews>
  <sheetFormatPr defaultColWidth="9.140625" defaultRowHeight="12.75"/>
  <cols>
    <col min="1" max="1" width="18.8515625" style="0" customWidth="1"/>
    <col min="2" max="2" width="14.7109375" style="0" customWidth="1"/>
    <col min="3" max="3" width="13.8515625" style="0" customWidth="1"/>
    <col min="4" max="4" width="14.140625" style="0" customWidth="1"/>
  </cols>
  <sheetData>
    <row r="2" spans="1:7" ht="12.75">
      <c r="A2" s="1" t="s">
        <v>0</v>
      </c>
      <c r="B2" s="2" t="s">
        <v>1</v>
      </c>
      <c r="C2" s="1" t="s">
        <v>50</v>
      </c>
      <c r="D2" s="1"/>
      <c r="E2" s="1" t="s">
        <v>2</v>
      </c>
      <c r="F2" s="3">
        <v>34</v>
      </c>
      <c r="G2">
        <v>2015</v>
      </c>
    </row>
    <row r="3" ht="12.75" hidden="1"/>
    <row r="4" spans="1:5" ht="12.75">
      <c r="A4" t="s">
        <v>3</v>
      </c>
      <c r="D4" s="4">
        <v>9030.4</v>
      </c>
      <c r="E4" s="5" t="s">
        <v>41</v>
      </c>
    </row>
    <row r="5" spans="1:5" ht="12.75">
      <c r="A5" t="s">
        <v>4</v>
      </c>
      <c r="D5" s="4">
        <v>161</v>
      </c>
      <c r="E5" s="5"/>
    </row>
    <row r="6" spans="1:5" ht="12.75">
      <c r="A6" t="s">
        <v>5</v>
      </c>
      <c r="D6" s="4">
        <v>378</v>
      </c>
      <c r="E6" s="5" t="s">
        <v>6</v>
      </c>
    </row>
    <row r="7" spans="1:5" ht="12.75">
      <c r="A7" t="s">
        <v>7</v>
      </c>
      <c r="D7" s="4">
        <v>1551.4</v>
      </c>
      <c r="E7" s="5" t="s">
        <v>41</v>
      </c>
    </row>
    <row r="8" spans="1:5" ht="12.75">
      <c r="A8" t="s">
        <v>8</v>
      </c>
      <c r="D8" s="4">
        <v>8050</v>
      </c>
      <c r="E8" s="5" t="s">
        <v>41</v>
      </c>
    </row>
    <row r="9" ht="12.75" hidden="1"/>
    <row r="10" ht="12.75" hidden="1"/>
    <row r="11" spans="2:4" ht="12.75">
      <c r="B11" s="6" t="s">
        <v>9</v>
      </c>
      <c r="C11" s="6" t="s">
        <v>10</v>
      </c>
      <c r="D11" s="6" t="s">
        <v>11</v>
      </c>
    </row>
    <row r="12" spans="1:4" ht="12.75">
      <c r="A12" s="7" t="s">
        <v>12</v>
      </c>
      <c r="B12" s="8">
        <f>SUM(B13:B24)</f>
        <v>2348478.57</v>
      </c>
      <c r="C12" s="8">
        <f>SUM(C13:C24)</f>
        <v>2357363.0700000003</v>
      </c>
      <c r="D12" s="8">
        <f>SUM(D13:D24)</f>
        <v>-8884.50000000003</v>
      </c>
    </row>
    <row r="13" spans="1:4" ht="12.75" hidden="1">
      <c r="A13" s="9" t="s">
        <v>25</v>
      </c>
      <c r="B13" s="8">
        <v>188078.31</v>
      </c>
      <c r="C13" s="8">
        <v>165859.88</v>
      </c>
      <c r="D13" s="8">
        <f aca="true" t="shared" si="0" ref="D13:D24">B13-C13</f>
        <v>22218.429999999993</v>
      </c>
    </row>
    <row r="14" spans="1:4" ht="12.75" hidden="1">
      <c r="A14" s="9" t="s">
        <v>13</v>
      </c>
      <c r="B14" s="8">
        <v>188078.31</v>
      </c>
      <c r="C14" s="13">
        <v>170610.05</v>
      </c>
      <c r="D14" s="8">
        <f t="shared" si="0"/>
        <v>17468.26000000001</v>
      </c>
    </row>
    <row r="15" spans="1:4" ht="12.75" hidden="1">
      <c r="A15" s="9" t="s">
        <v>14</v>
      </c>
      <c r="B15" s="8">
        <v>188078.31</v>
      </c>
      <c r="C15" s="13">
        <v>278247.94</v>
      </c>
      <c r="D15" s="8">
        <f t="shared" si="0"/>
        <v>-90169.63</v>
      </c>
    </row>
    <row r="16" spans="1:4" ht="12.75" hidden="1">
      <c r="A16" s="9" t="s">
        <v>15</v>
      </c>
      <c r="B16" s="8">
        <v>188078.31</v>
      </c>
      <c r="C16" s="13">
        <v>176056.93</v>
      </c>
      <c r="D16" s="8">
        <f t="shared" si="0"/>
        <v>12021.380000000005</v>
      </c>
    </row>
    <row r="17" spans="1:4" ht="12.75" hidden="1">
      <c r="A17" s="9" t="s">
        <v>16</v>
      </c>
      <c r="B17" s="8">
        <v>188078.31</v>
      </c>
      <c r="C17" s="13">
        <v>168401.5</v>
      </c>
      <c r="D17" s="8">
        <f t="shared" si="0"/>
        <v>19676.809999999998</v>
      </c>
    </row>
    <row r="18" spans="1:4" ht="12.75" hidden="1">
      <c r="A18" s="9" t="s">
        <v>17</v>
      </c>
      <c r="B18" s="8">
        <v>188078.31</v>
      </c>
      <c r="C18" s="13">
        <v>190643.65</v>
      </c>
      <c r="D18" s="8">
        <f t="shared" si="0"/>
        <v>-2565.3399999999965</v>
      </c>
    </row>
    <row r="19" spans="1:4" ht="12.75" hidden="1">
      <c r="A19" s="9" t="s">
        <v>18</v>
      </c>
      <c r="B19" s="8">
        <v>188078.31</v>
      </c>
      <c r="C19" s="13">
        <v>194494.27</v>
      </c>
      <c r="D19" s="8">
        <f t="shared" si="0"/>
        <v>-6415.959999999992</v>
      </c>
    </row>
    <row r="20" spans="1:4" ht="12.75" hidden="1">
      <c r="A20" s="9" t="s">
        <v>19</v>
      </c>
      <c r="B20" s="13">
        <v>206922.03</v>
      </c>
      <c r="C20" s="13">
        <v>200646.46</v>
      </c>
      <c r="D20" s="8">
        <f t="shared" si="0"/>
        <v>6275.570000000007</v>
      </c>
    </row>
    <row r="21" spans="1:4" ht="12.75" hidden="1">
      <c r="A21" s="9" t="s">
        <v>20</v>
      </c>
      <c r="B21" s="13">
        <v>206922.03</v>
      </c>
      <c r="C21" s="13">
        <v>194328.63</v>
      </c>
      <c r="D21" s="8">
        <f t="shared" si="0"/>
        <v>12593.399999999994</v>
      </c>
    </row>
    <row r="22" spans="1:4" ht="12.75" hidden="1">
      <c r="A22" s="9" t="s">
        <v>21</v>
      </c>
      <c r="B22" s="13">
        <v>206028.78</v>
      </c>
      <c r="C22" s="13">
        <v>218157.89</v>
      </c>
      <c r="D22" s="13">
        <f t="shared" si="0"/>
        <v>-12129.110000000015</v>
      </c>
    </row>
    <row r="23" spans="1:4" ht="12.75" hidden="1">
      <c r="A23" s="9" t="s">
        <v>22</v>
      </c>
      <c r="B23" s="13">
        <v>206028.78</v>
      </c>
      <c r="C23" s="13">
        <v>192662.48</v>
      </c>
      <c r="D23" s="13">
        <f t="shared" si="0"/>
        <v>13366.299999999988</v>
      </c>
    </row>
    <row r="24" spans="1:4" ht="12.75" hidden="1">
      <c r="A24" s="9" t="s">
        <v>23</v>
      </c>
      <c r="B24" s="13">
        <v>206028.78</v>
      </c>
      <c r="C24" s="13">
        <v>207253.39</v>
      </c>
      <c r="D24" s="13">
        <f t="shared" si="0"/>
        <v>-1224.6100000000151</v>
      </c>
    </row>
    <row r="25" spans="1:4" ht="12.75">
      <c r="A25" s="7" t="s">
        <v>24</v>
      </c>
      <c r="B25" s="8">
        <f>SUM(B26:B37)</f>
        <v>642.8400000000001</v>
      </c>
      <c r="C25" s="8">
        <f>SUM(C26:C37)</f>
        <v>612.6099999999999</v>
      </c>
      <c r="D25" s="8">
        <f>SUM(D26:D37)</f>
        <v>30.23000000000001</v>
      </c>
    </row>
    <row r="26" spans="1:4" ht="12.75" hidden="1">
      <c r="A26" s="9" t="s">
        <v>25</v>
      </c>
      <c r="B26" s="8">
        <v>53.57</v>
      </c>
      <c r="C26" s="8">
        <v>30.35</v>
      </c>
      <c r="D26" s="8">
        <f aca="true" t="shared" si="1" ref="D26:D37">B26-C26</f>
        <v>23.22</v>
      </c>
    </row>
    <row r="27" spans="1:4" ht="12.75" hidden="1">
      <c r="A27" s="9" t="s">
        <v>13</v>
      </c>
      <c r="B27" s="8">
        <v>53.57</v>
      </c>
      <c r="C27" s="13">
        <v>39.82</v>
      </c>
      <c r="D27" s="8">
        <f t="shared" si="1"/>
        <v>13.75</v>
      </c>
    </row>
    <row r="28" spans="1:4" ht="12.75" hidden="1">
      <c r="A28" s="9" t="s">
        <v>14</v>
      </c>
      <c r="B28" s="8">
        <v>53.57</v>
      </c>
      <c r="C28" s="13">
        <v>68.28</v>
      </c>
      <c r="D28" s="8">
        <f t="shared" si="1"/>
        <v>-14.71</v>
      </c>
    </row>
    <row r="29" spans="1:4" ht="12.75" hidden="1">
      <c r="A29" s="9" t="s">
        <v>15</v>
      </c>
      <c r="B29" s="8">
        <v>53.57</v>
      </c>
      <c r="C29" s="13">
        <v>79.32</v>
      </c>
      <c r="D29" s="8">
        <f t="shared" si="1"/>
        <v>-25.749999999999993</v>
      </c>
    </row>
    <row r="30" spans="1:4" ht="12.75" hidden="1">
      <c r="A30" s="9" t="s">
        <v>16</v>
      </c>
      <c r="B30" s="8">
        <v>53.57</v>
      </c>
      <c r="C30" s="13">
        <v>50.2</v>
      </c>
      <c r="D30" s="8">
        <f t="shared" si="1"/>
        <v>3.3699999999999974</v>
      </c>
    </row>
    <row r="31" spans="1:4" ht="12.75" hidden="1">
      <c r="A31" s="9" t="s">
        <v>17</v>
      </c>
      <c r="B31" s="8">
        <v>53.57</v>
      </c>
      <c r="C31" s="13">
        <v>48.02</v>
      </c>
      <c r="D31" s="8">
        <f t="shared" si="1"/>
        <v>5.549999999999997</v>
      </c>
    </row>
    <row r="32" spans="1:4" ht="12.75" hidden="1">
      <c r="A32" s="9" t="s">
        <v>18</v>
      </c>
      <c r="B32" s="8">
        <v>53.57</v>
      </c>
      <c r="C32" s="13">
        <v>57.2</v>
      </c>
      <c r="D32" s="8">
        <f t="shared" si="1"/>
        <v>-3.6300000000000026</v>
      </c>
    </row>
    <row r="33" spans="1:4" ht="12.75" hidden="1">
      <c r="A33" s="9" t="s">
        <v>19</v>
      </c>
      <c r="B33" s="8">
        <v>53.57</v>
      </c>
      <c r="C33" s="13">
        <v>48.01</v>
      </c>
      <c r="D33" s="8">
        <f t="shared" si="1"/>
        <v>5.560000000000002</v>
      </c>
    </row>
    <row r="34" spans="1:4" ht="12.75" hidden="1">
      <c r="A34" s="9" t="s">
        <v>20</v>
      </c>
      <c r="B34" s="8">
        <v>53.57</v>
      </c>
      <c r="C34" s="13">
        <v>49.23</v>
      </c>
      <c r="D34" s="8">
        <f t="shared" si="1"/>
        <v>4.340000000000003</v>
      </c>
    </row>
    <row r="35" spans="1:4" ht="12.75" hidden="1">
      <c r="A35" s="9" t="s">
        <v>21</v>
      </c>
      <c r="B35" s="8">
        <v>53.57</v>
      </c>
      <c r="C35" s="13">
        <v>52.19</v>
      </c>
      <c r="D35" s="13">
        <f t="shared" si="1"/>
        <v>1.3800000000000026</v>
      </c>
    </row>
    <row r="36" spans="1:4" ht="12.75" hidden="1">
      <c r="A36" s="9" t="s">
        <v>22</v>
      </c>
      <c r="B36" s="8">
        <v>53.57</v>
      </c>
      <c r="C36" s="13">
        <v>29.63</v>
      </c>
      <c r="D36" s="13">
        <f t="shared" si="1"/>
        <v>23.94</v>
      </c>
    </row>
    <row r="37" spans="1:4" ht="12.75" hidden="1">
      <c r="A37" s="9" t="s">
        <v>23</v>
      </c>
      <c r="B37" s="8">
        <v>53.57</v>
      </c>
      <c r="C37" s="13">
        <v>60.36</v>
      </c>
      <c r="D37" s="13">
        <f t="shared" si="1"/>
        <v>-6.789999999999999</v>
      </c>
    </row>
    <row r="38" spans="1:4" ht="12.75" hidden="1">
      <c r="A38" s="7" t="s">
        <v>42</v>
      </c>
      <c r="B38" s="13">
        <f>B39+B40</f>
        <v>0</v>
      </c>
      <c r="C38" s="13">
        <f>C39+C40</f>
        <v>0</v>
      </c>
      <c r="D38" s="13">
        <f>SUM(D39:D40)</f>
        <v>0</v>
      </c>
    </row>
    <row r="39" spans="1:4" ht="12.75" hidden="1">
      <c r="A39" s="9" t="s">
        <v>22</v>
      </c>
      <c r="B39" s="13"/>
      <c r="C39" s="13"/>
      <c r="D39" s="13">
        <f>B39-C39</f>
        <v>0</v>
      </c>
    </row>
    <row r="40" spans="1:4" ht="12.75" hidden="1">
      <c r="A40" s="9" t="s">
        <v>23</v>
      </c>
      <c r="B40" s="13"/>
      <c r="C40" s="13"/>
      <c r="D40" s="13">
        <f>B40-C40</f>
        <v>0</v>
      </c>
    </row>
    <row r="41" spans="1:4" ht="12.75" hidden="1">
      <c r="A41" s="7" t="s">
        <v>43</v>
      </c>
      <c r="B41" s="13">
        <f>B42+B43+B44+B45+B46</f>
        <v>0</v>
      </c>
      <c r="C41" s="13">
        <f>C42+C43+C44+C45+C46</f>
        <v>0</v>
      </c>
      <c r="D41" s="13">
        <f>SUM(D42:D46)</f>
        <v>0</v>
      </c>
    </row>
    <row r="42" spans="1:4" ht="12.75" hidden="1">
      <c r="A42" s="9" t="s">
        <v>19</v>
      </c>
      <c r="B42" s="8"/>
      <c r="C42" s="8"/>
      <c r="D42" s="8">
        <f>B42-C42</f>
        <v>0</v>
      </c>
    </row>
    <row r="43" spans="1:4" ht="12.75" hidden="1">
      <c r="A43" s="9" t="s">
        <v>20</v>
      </c>
      <c r="B43" s="13"/>
      <c r="C43" s="13"/>
      <c r="D43" s="8">
        <f>B43-C43</f>
        <v>0</v>
      </c>
    </row>
    <row r="44" spans="1:4" ht="12.75" hidden="1">
      <c r="A44" s="9" t="s">
        <v>21</v>
      </c>
      <c r="B44" s="13"/>
      <c r="C44" s="13"/>
      <c r="D44" s="13">
        <f>B44-C44</f>
        <v>0</v>
      </c>
    </row>
    <row r="45" spans="1:4" ht="12.75" hidden="1">
      <c r="A45" s="9" t="s">
        <v>22</v>
      </c>
      <c r="B45" s="13"/>
      <c r="C45" s="13"/>
      <c r="D45" s="13">
        <f>B45-C45</f>
        <v>0</v>
      </c>
    </row>
    <row r="46" spans="1:4" ht="12.75" hidden="1">
      <c r="A46" s="9" t="s">
        <v>23</v>
      </c>
      <c r="B46" s="13"/>
      <c r="C46" s="13"/>
      <c r="D46" s="13">
        <f>B46-C46</f>
        <v>0</v>
      </c>
    </row>
    <row r="47" spans="1:4" ht="12.75">
      <c r="A47" s="9" t="s">
        <v>26</v>
      </c>
      <c r="B47" s="8">
        <f>B12+B25</f>
        <v>2349121.4099999997</v>
      </c>
      <c r="C47" s="8">
        <f>C12+C25</f>
        <v>2357975.68</v>
      </c>
      <c r="D47" s="8">
        <f>D12+D25</f>
        <v>-8854.27000000003</v>
      </c>
    </row>
    <row r="49" spans="1:4" ht="12.75">
      <c r="A49" t="s">
        <v>27</v>
      </c>
      <c r="D49" s="12">
        <f>D47</f>
        <v>-8854.27000000003</v>
      </c>
    </row>
    <row r="51" spans="1:4" ht="12" customHeight="1">
      <c r="A51" s="11" t="s">
        <v>28</v>
      </c>
      <c r="D51" s="12">
        <f>D52+D53</f>
        <v>179975.872</v>
      </c>
    </row>
    <row r="52" spans="1:4" ht="12.75" hidden="1">
      <c r="A52" s="11" t="s">
        <v>29</v>
      </c>
      <c r="D52" s="12">
        <f>(2.75*2*D4)+(1.1*5*D4)+(1.21*5*D4)</f>
        <v>153968.32</v>
      </c>
    </row>
    <row r="53" spans="1:4" ht="12.75" hidden="1">
      <c r="A53" s="11" t="s">
        <v>30</v>
      </c>
      <c r="D53" s="12">
        <f>(0.24*12*D4)</f>
        <v>26007.552</v>
      </c>
    </row>
    <row r="54" spans="1:4" ht="12.75">
      <c r="A54" s="11" t="s">
        <v>31</v>
      </c>
      <c r="D54" s="12">
        <f>(0.66*2*D4)</f>
        <v>11920.128</v>
      </c>
    </row>
    <row r="55" spans="1:4" ht="12.75">
      <c r="A55" s="11" t="s">
        <v>81</v>
      </c>
      <c r="D55" s="12">
        <f>(0.5*2*D4)+(0.55*5*D4)+(0.6*5*D4)</f>
        <v>60955.2</v>
      </c>
    </row>
    <row r="56" spans="1:4" ht="12.75">
      <c r="A56" s="11" t="s">
        <v>90</v>
      </c>
      <c r="D56" s="12">
        <f>(2.2*7*D4)+(2.42*5*D4)</f>
        <v>248336</v>
      </c>
    </row>
    <row r="57" spans="1:4" ht="12.75" hidden="1">
      <c r="A57" s="11" t="s">
        <v>33</v>
      </c>
      <c r="D57" s="12">
        <v>0</v>
      </c>
    </row>
    <row r="58" spans="1:4" ht="12.75">
      <c r="A58" s="11" t="s">
        <v>80</v>
      </c>
      <c r="D58" s="12">
        <f>(0.72*2*D4)</f>
        <v>13003.776</v>
      </c>
    </row>
    <row r="59" spans="1:4" ht="12.75">
      <c r="A59" s="11" t="s">
        <v>34</v>
      </c>
      <c r="D59" s="12">
        <f>(3.3*2*D4)+(1.2*5*D4)+(1.32*5*D4)</f>
        <v>173383.68</v>
      </c>
    </row>
    <row r="60" spans="1:4" ht="12.75">
      <c r="A60" s="11" t="s">
        <v>35</v>
      </c>
      <c r="D60" s="12">
        <f>(2.2*2*D4)+(4.1*5*D4)+(4.51*5*D4)</f>
        <v>428492.48</v>
      </c>
    </row>
    <row r="61" spans="1:4" ht="12.75">
      <c r="A61" s="11" t="s">
        <v>36</v>
      </c>
      <c r="D61" s="12">
        <f>(0.24*7*D4)+(0.26*5*D4)</f>
        <v>26910.591999999997</v>
      </c>
    </row>
    <row r="62" spans="1:4" ht="12.75">
      <c r="A62" s="11" t="s">
        <v>79</v>
      </c>
      <c r="D62" s="12">
        <f>(0.77*2*D4)+(3.2*5*D4)+(3.52*5*D4)</f>
        <v>317328.256</v>
      </c>
    </row>
    <row r="63" spans="1:4" ht="12.75">
      <c r="A63" s="11" t="s">
        <v>37</v>
      </c>
      <c r="D63" s="12">
        <f>2.25*12*D5</f>
        <v>4347</v>
      </c>
    </row>
    <row r="64" spans="1:4" ht="12.75">
      <c r="A64" s="11" t="s">
        <v>38</v>
      </c>
      <c r="D64" s="12">
        <v>733957</v>
      </c>
    </row>
    <row r="65" spans="1:4" ht="12.75">
      <c r="A65" s="11" t="s">
        <v>39</v>
      </c>
      <c r="D65" s="12">
        <f>(1.76*2*D4)+(0.57*5*D4)+(0.64*5*D4)</f>
        <v>86420.92799999999</v>
      </c>
    </row>
    <row r="66" spans="1:4" ht="12.75" hidden="1">
      <c r="A66" s="15" t="s">
        <v>65</v>
      </c>
      <c r="D66" s="12">
        <v>0</v>
      </c>
    </row>
    <row r="67" spans="1:4" ht="12.75">
      <c r="A67" s="11" t="s">
        <v>67</v>
      </c>
      <c r="D67" s="12">
        <f>(3.85*7*D4)+(3.5*0*D4)+(4.24*5*D4)</f>
        <v>434813.76</v>
      </c>
    </row>
    <row r="68" spans="1:4" ht="12.75">
      <c r="A68" s="11"/>
      <c r="D68" s="12"/>
    </row>
    <row r="69" spans="1:4" ht="12.75">
      <c r="A69" s="11" t="s">
        <v>40</v>
      </c>
      <c r="D69" s="12">
        <f>D51+D54+D56+D57+D59+D60+D61+D62+D63+D64+D65+D66+D67-D66+D55+D58</f>
        <v>2719844.672</v>
      </c>
    </row>
    <row r="70" spans="1:4" ht="12.75">
      <c r="A70" s="11"/>
      <c r="D70" s="12"/>
    </row>
    <row r="71" spans="1:4" ht="12.75">
      <c r="A71" t="s">
        <v>69</v>
      </c>
      <c r="D71" s="12">
        <f>C47-D69</f>
        <v>-361868.9919999996</v>
      </c>
    </row>
    <row r="73" spans="4:7" ht="12.75">
      <c r="D73" s="12"/>
      <c r="G73" s="17"/>
    </row>
    <row r="74" ht="12.75">
      <c r="G74" s="18"/>
    </row>
    <row r="75" ht="12.75">
      <c r="G75" s="18"/>
    </row>
    <row r="76" ht="12.75">
      <c r="G76" s="18"/>
    </row>
    <row r="77" ht="12.75">
      <c r="G77" s="18"/>
    </row>
    <row r="78" ht="12.75" customHeight="1" hidden="1"/>
    <row r="80" ht="12.75">
      <c r="G80" s="17"/>
    </row>
    <row r="81" ht="12.75">
      <c r="G81" s="18"/>
    </row>
    <row r="82" ht="12.75">
      <c r="G82" s="18"/>
    </row>
    <row r="83" ht="12.75">
      <c r="G83" s="18"/>
    </row>
    <row r="84" ht="12.75">
      <c r="G84" s="18"/>
    </row>
    <row r="85" ht="12.75">
      <c r="G85" s="18"/>
    </row>
    <row r="86" ht="12.75">
      <c r="G86" s="18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3"/>
  <dimension ref="A2:G97"/>
  <sheetViews>
    <sheetView zoomScalePageLayoutView="0" workbookViewId="0" topLeftCell="A1">
      <selection activeCell="G65" sqref="G65:K73"/>
    </sheetView>
  </sheetViews>
  <sheetFormatPr defaultColWidth="9.140625" defaultRowHeight="12.75"/>
  <cols>
    <col min="1" max="1" width="14.00390625" style="0" customWidth="1"/>
    <col min="2" max="2" width="15.7109375" style="0" customWidth="1"/>
    <col min="3" max="3" width="16.421875" style="0" customWidth="1"/>
    <col min="4" max="4" width="21.28125" style="0" customWidth="1"/>
    <col min="6" max="6" width="4.7109375" style="0" customWidth="1"/>
    <col min="7" max="7" width="10.57421875" style="0" bestFit="1" customWidth="1"/>
  </cols>
  <sheetData>
    <row r="2" spans="1:7" ht="12.75">
      <c r="A2" s="1" t="s">
        <v>0</v>
      </c>
      <c r="B2" s="2" t="s">
        <v>1</v>
      </c>
      <c r="C2" s="1" t="s">
        <v>50</v>
      </c>
      <c r="D2" s="1"/>
      <c r="E2" s="1" t="s">
        <v>2</v>
      </c>
      <c r="F2" s="3" t="s">
        <v>51</v>
      </c>
      <c r="G2" s="14">
        <v>2015</v>
      </c>
    </row>
    <row r="4" spans="1:5" ht="12.75">
      <c r="A4" t="s">
        <v>3</v>
      </c>
      <c r="D4" s="4">
        <v>4606.2</v>
      </c>
      <c r="E4" s="5" t="s">
        <v>41</v>
      </c>
    </row>
    <row r="5" spans="1:5" ht="12.75">
      <c r="A5" t="s">
        <v>4</v>
      </c>
      <c r="D5" s="4">
        <v>80</v>
      </c>
      <c r="E5" s="5"/>
    </row>
    <row r="6" spans="1:5" ht="12.75">
      <c r="A6" t="s">
        <v>5</v>
      </c>
      <c r="D6" s="4">
        <v>179</v>
      </c>
      <c r="E6" s="5" t="s">
        <v>6</v>
      </c>
    </row>
    <row r="7" spans="1:5" ht="12.75">
      <c r="A7" t="s">
        <v>7</v>
      </c>
      <c r="D7" s="4">
        <v>825.4</v>
      </c>
      <c r="E7" s="5" t="s">
        <v>41</v>
      </c>
    </row>
    <row r="8" spans="1:5" ht="12.75">
      <c r="A8" t="s">
        <v>8</v>
      </c>
      <c r="D8" s="4">
        <v>1445</v>
      </c>
      <c r="E8" s="5" t="s">
        <v>41</v>
      </c>
    </row>
    <row r="11" spans="2:4" ht="12.75">
      <c r="B11" s="6" t="s">
        <v>9</v>
      </c>
      <c r="C11" s="6" t="s">
        <v>10</v>
      </c>
      <c r="D11" s="6" t="s">
        <v>11</v>
      </c>
    </row>
    <row r="12" spans="1:4" ht="12.75">
      <c r="A12" s="7" t="s">
        <v>12</v>
      </c>
      <c r="B12" s="8">
        <f>SUM(B13:B24)</f>
        <v>1209799.6199999999</v>
      </c>
      <c r="C12" s="8">
        <f>SUM(C13:C24)</f>
        <v>1140567.1</v>
      </c>
      <c r="D12" s="8">
        <f>SUM(D13:D24)</f>
        <v>69232.51999999999</v>
      </c>
    </row>
    <row r="13" spans="1:4" ht="12.75" hidden="1">
      <c r="A13" s="9" t="s">
        <v>25</v>
      </c>
      <c r="B13" s="8">
        <v>97266.89</v>
      </c>
      <c r="C13" s="8">
        <v>86124.08</v>
      </c>
      <c r="D13" s="8">
        <f aca="true" t="shared" si="0" ref="D13:D24">B13-C13</f>
        <v>11142.809999999998</v>
      </c>
    </row>
    <row r="14" spans="1:4" ht="12.75" hidden="1">
      <c r="A14" s="9" t="s">
        <v>13</v>
      </c>
      <c r="B14" s="8">
        <v>97266.89</v>
      </c>
      <c r="C14" s="13">
        <v>76905.06</v>
      </c>
      <c r="D14" s="8">
        <f t="shared" si="0"/>
        <v>20361.83</v>
      </c>
    </row>
    <row r="15" spans="1:4" ht="12.75" hidden="1">
      <c r="A15" s="9" t="s">
        <v>14</v>
      </c>
      <c r="B15" s="8">
        <v>97266.89</v>
      </c>
      <c r="C15" s="13">
        <v>93821.54</v>
      </c>
      <c r="D15" s="8">
        <f t="shared" si="0"/>
        <v>3445.350000000006</v>
      </c>
    </row>
    <row r="16" spans="1:4" ht="12.75" hidden="1">
      <c r="A16" s="9" t="s">
        <v>15</v>
      </c>
      <c r="B16" s="8">
        <v>97266.89</v>
      </c>
      <c r="C16" s="13">
        <v>86540.69</v>
      </c>
      <c r="D16" s="8">
        <f t="shared" si="0"/>
        <v>10726.199999999997</v>
      </c>
    </row>
    <row r="17" spans="1:4" ht="12.75" hidden="1">
      <c r="A17" s="9" t="s">
        <v>16</v>
      </c>
      <c r="B17" s="8">
        <v>96545.87</v>
      </c>
      <c r="C17" s="13">
        <v>76263.25</v>
      </c>
      <c r="D17" s="8">
        <f t="shared" si="0"/>
        <v>20282.619999999995</v>
      </c>
    </row>
    <row r="18" spans="1:4" ht="12.75" hidden="1">
      <c r="A18" s="9" t="s">
        <v>17</v>
      </c>
      <c r="B18" s="8">
        <v>96545.87</v>
      </c>
      <c r="C18" s="13">
        <v>88788.86</v>
      </c>
      <c r="D18" s="8">
        <f t="shared" si="0"/>
        <v>7757.009999999995</v>
      </c>
    </row>
    <row r="19" spans="1:4" ht="12.75" hidden="1">
      <c r="A19" s="9" t="s">
        <v>18</v>
      </c>
      <c r="B19" s="8">
        <v>96545.87</v>
      </c>
      <c r="C19" s="13">
        <v>87074.26</v>
      </c>
      <c r="D19" s="8">
        <f t="shared" si="0"/>
        <v>9471.61</v>
      </c>
    </row>
    <row r="20" spans="1:4" ht="12.75" hidden="1">
      <c r="A20" s="9" t="s">
        <v>19</v>
      </c>
      <c r="B20" s="13">
        <v>106218.89</v>
      </c>
      <c r="C20" s="13">
        <v>103009.25</v>
      </c>
      <c r="D20" s="8">
        <f t="shared" si="0"/>
        <v>3209.6399999999994</v>
      </c>
    </row>
    <row r="21" spans="1:4" ht="12.75" hidden="1">
      <c r="A21" s="9" t="s">
        <v>20</v>
      </c>
      <c r="B21" s="13">
        <v>106218.89</v>
      </c>
      <c r="C21" s="13">
        <v>156372.88</v>
      </c>
      <c r="D21" s="8">
        <f t="shared" si="0"/>
        <v>-50153.990000000005</v>
      </c>
    </row>
    <row r="22" spans="1:4" ht="12.75" hidden="1">
      <c r="A22" s="9" t="s">
        <v>21</v>
      </c>
      <c r="B22" s="13">
        <v>106218.89</v>
      </c>
      <c r="C22" s="13">
        <v>88746.42</v>
      </c>
      <c r="D22" s="13">
        <f t="shared" si="0"/>
        <v>17472.47</v>
      </c>
    </row>
    <row r="23" spans="1:4" ht="12.75" hidden="1">
      <c r="A23" s="9" t="s">
        <v>22</v>
      </c>
      <c r="B23" s="13">
        <v>106218.89</v>
      </c>
      <c r="C23" s="13">
        <v>98420.02</v>
      </c>
      <c r="D23" s="13">
        <f t="shared" si="0"/>
        <v>7798.869999999995</v>
      </c>
    </row>
    <row r="24" spans="1:4" ht="12.75" hidden="1">
      <c r="A24" s="9" t="s">
        <v>23</v>
      </c>
      <c r="B24" s="13">
        <v>106218.89</v>
      </c>
      <c r="C24" s="13">
        <v>98500.79</v>
      </c>
      <c r="D24" s="13">
        <f t="shared" si="0"/>
        <v>7718.100000000006</v>
      </c>
    </row>
    <row r="25" spans="1:4" ht="12" customHeight="1" hidden="1">
      <c r="A25" s="7" t="s">
        <v>24</v>
      </c>
      <c r="B25" s="8">
        <f>SUM(B26:B37)</f>
        <v>0</v>
      </c>
      <c r="C25" s="8">
        <f>SUM(C26:C37)</f>
        <v>0</v>
      </c>
      <c r="D25" s="8">
        <f>SUM(D26:D37)</f>
        <v>0</v>
      </c>
    </row>
    <row r="26" spans="1:4" ht="12.75" hidden="1">
      <c r="A26" s="9" t="s">
        <v>25</v>
      </c>
      <c r="B26" s="8"/>
      <c r="C26" s="8"/>
      <c r="D26" s="8">
        <f aca="true" t="shared" si="1" ref="D26:D37">B26-C26</f>
        <v>0</v>
      </c>
    </row>
    <row r="27" spans="1:4" ht="12.75" hidden="1">
      <c r="A27" s="9" t="s">
        <v>13</v>
      </c>
      <c r="B27" s="13"/>
      <c r="C27" s="13"/>
      <c r="D27" s="8">
        <f t="shared" si="1"/>
        <v>0</v>
      </c>
    </row>
    <row r="28" spans="1:4" ht="12.75" hidden="1">
      <c r="A28" s="9" t="s">
        <v>14</v>
      </c>
      <c r="B28" s="13"/>
      <c r="C28" s="13"/>
      <c r="D28" s="8">
        <f t="shared" si="1"/>
        <v>0</v>
      </c>
    </row>
    <row r="29" spans="1:4" ht="12.75" hidden="1">
      <c r="A29" s="9" t="s">
        <v>15</v>
      </c>
      <c r="B29" s="13"/>
      <c r="C29" s="13"/>
      <c r="D29" s="8">
        <f t="shared" si="1"/>
        <v>0</v>
      </c>
    </row>
    <row r="30" spans="1:4" ht="12.75" hidden="1">
      <c r="A30" s="9" t="s">
        <v>16</v>
      </c>
      <c r="B30" s="13"/>
      <c r="C30" s="13"/>
      <c r="D30" s="8">
        <f t="shared" si="1"/>
        <v>0</v>
      </c>
    </row>
    <row r="31" spans="1:4" ht="12.75" hidden="1">
      <c r="A31" s="9" t="s">
        <v>17</v>
      </c>
      <c r="B31" s="13"/>
      <c r="C31" s="13"/>
      <c r="D31" s="8">
        <f t="shared" si="1"/>
        <v>0</v>
      </c>
    </row>
    <row r="32" spans="1:4" ht="12.75" hidden="1">
      <c r="A32" s="9" t="s">
        <v>18</v>
      </c>
      <c r="B32" s="13"/>
      <c r="C32" s="13"/>
      <c r="D32" s="8">
        <f t="shared" si="1"/>
        <v>0</v>
      </c>
    </row>
    <row r="33" spans="1:4" ht="12.75" hidden="1">
      <c r="A33" s="9" t="s">
        <v>19</v>
      </c>
      <c r="B33" s="13"/>
      <c r="C33" s="13"/>
      <c r="D33" s="8">
        <f t="shared" si="1"/>
        <v>0</v>
      </c>
    </row>
    <row r="34" spans="1:4" ht="12.75" hidden="1">
      <c r="A34" s="9" t="s">
        <v>20</v>
      </c>
      <c r="B34" s="13"/>
      <c r="C34" s="13"/>
      <c r="D34" s="8">
        <f t="shared" si="1"/>
        <v>0</v>
      </c>
    </row>
    <row r="35" spans="1:4" ht="12.75" hidden="1">
      <c r="A35" s="9" t="s">
        <v>21</v>
      </c>
      <c r="B35" s="13"/>
      <c r="C35" s="13"/>
      <c r="D35" s="13">
        <f t="shared" si="1"/>
        <v>0</v>
      </c>
    </row>
    <row r="36" spans="1:4" ht="12.75" hidden="1">
      <c r="A36" s="9" t="s">
        <v>22</v>
      </c>
      <c r="B36" s="13"/>
      <c r="C36" s="13"/>
      <c r="D36" s="13">
        <f t="shared" si="1"/>
        <v>0</v>
      </c>
    </row>
    <row r="37" spans="1:4" ht="12.75" hidden="1">
      <c r="A37" s="9" t="s">
        <v>23</v>
      </c>
      <c r="B37" s="10"/>
      <c r="C37" s="10"/>
      <c r="D37" s="13">
        <f t="shared" si="1"/>
        <v>0</v>
      </c>
    </row>
    <row r="38" spans="1:4" ht="12.75" hidden="1">
      <c r="A38" s="7" t="s">
        <v>42</v>
      </c>
      <c r="B38" s="13">
        <f>B40+B41+B39</f>
        <v>0</v>
      </c>
      <c r="C38" s="13">
        <f>C40+C41+C39</f>
        <v>0</v>
      </c>
      <c r="D38" s="13">
        <f>D39+D40+D41</f>
        <v>0</v>
      </c>
    </row>
    <row r="39" spans="1:4" ht="12.75" hidden="1">
      <c r="A39" s="9" t="s">
        <v>21</v>
      </c>
      <c r="B39" s="13"/>
      <c r="C39" s="13"/>
      <c r="D39" s="13">
        <f>B39-C39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147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18</v>
      </c>
      <c r="B43" s="8"/>
      <c r="C43" s="8"/>
      <c r="D43" s="8">
        <f>B43-C43</f>
        <v>0</v>
      </c>
    </row>
    <row r="44" spans="1:4" ht="12.75" hidden="1">
      <c r="A44" s="9" t="s">
        <v>19</v>
      </c>
      <c r="B44" s="13"/>
      <c r="C44" s="13"/>
      <c r="D44" s="8">
        <f>B44-C44</f>
        <v>0</v>
      </c>
    </row>
    <row r="45" spans="1:4" ht="12.75" hidden="1">
      <c r="A45" s="9" t="s">
        <v>20</v>
      </c>
      <c r="B45" s="13"/>
      <c r="C45" s="13"/>
      <c r="D45" s="13">
        <f>B45-C45</f>
        <v>0</v>
      </c>
    </row>
    <row r="46" spans="1:4" ht="12.75" hidden="1">
      <c r="A46" s="9" t="s">
        <v>21</v>
      </c>
      <c r="B46" s="13"/>
      <c r="C46" s="13"/>
      <c r="D46" s="13">
        <f>B46-C46</f>
        <v>0</v>
      </c>
    </row>
    <row r="47" spans="1:4" ht="12.75" hidden="1">
      <c r="A47" s="9" t="s">
        <v>22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B12+B25</f>
        <v>1209799.6199999999</v>
      </c>
      <c r="C48" s="8">
        <f>C12+C25</f>
        <v>1140567.1</v>
      </c>
      <c r="D48" s="8">
        <f>D12+D25</f>
        <v>69232.51999999999</v>
      </c>
    </row>
    <row r="50" spans="1:4" ht="12.75">
      <c r="A50" t="s">
        <v>27</v>
      </c>
      <c r="D50" s="12">
        <f>D48</f>
        <v>69232.51999999999</v>
      </c>
    </row>
    <row r="52" spans="1:4" ht="12.75">
      <c r="A52" s="11" t="s">
        <v>28</v>
      </c>
      <c r="D52" s="12">
        <f>D53+D54</f>
        <v>91801.56599999999</v>
      </c>
    </row>
    <row r="53" spans="1:4" ht="12.75" hidden="1">
      <c r="A53" s="11" t="s">
        <v>29</v>
      </c>
      <c r="D53" s="12">
        <f>(2.75*2*D4)+(1.1*5*D4)+(1.21*5*D4)</f>
        <v>78535.70999999999</v>
      </c>
    </row>
    <row r="54" spans="1:4" ht="12.75" hidden="1">
      <c r="A54" s="11" t="s">
        <v>30</v>
      </c>
      <c r="D54" s="12">
        <f>(0.24*12*D4)</f>
        <v>13265.856</v>
      </c>
    </row>
    <row r="55" spans="1:7" ht="12.75">
      <c r="A55" s="11" t="s">
        <v>31</v>
      </c>
      <c r="D55" s="12">
        <f>(0.66*2*D4)</f>
        <v>6080.184</v>
      </c>
      <c r="G55" s="19"/>
    </row>
    <row r="56" spans="1:4" ht="12.75">
      <c r="A56" s="11" t="s">
        <v>81</v>
      </c>
      <c r="D56" s="12">
        <f>(0.5*2*D4)+(0.55*5*D4)+(0.6*5*D4)</f>
        <v>31091.85</v>
      </c>
    </row>
    <row r="57" spans="1:4" ht="12.75">
      <c r="A57" s="11" t="s">
        <v>90</v>
      </c>
      <c r="D57" s="12">
        <f>(2.2*7*D4)+(2.42*5*D4)</f>
        <v>126670.5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(0.72*2*D4)</f>
        <v>6632.928</v>
      </c>
    </row>
    <row r="60" spans="1:4" ht="12.75">
      <c r="A60" s="11" t="s">
        <v>34</v>
      </c>
      <c r="D60" s="12">
        <f>(3.3*2*D4)+(1.2*5*D4)+(1.32*5*D4)</f>
        <v>88439.04</v>
      </c>
    </row>
    <row r="61" spans="1:4" ht="12.75">
      <c r="A61" s="11" t="s">
        <v>35</v>
      </c>
      <c r="D61" s="12">
        <f>(2.2*2*D4)+(4.1*5*D4)+(4.51*5*D4)</f>
        <v>218564.18999999997</v>
      </c>
    </row>
    <row r="62" spans="1:4" ht="12.75">
      <c r="A62" s="11" t="s">
        <v>36</v>
      </c>
      <c r="D62" s="12">
        <f>(0.24*7*D4)+(0.26*5*D4)</f>
        <v>13726.475999999999</v>
      </c>
    </row>
    <row r="63" spans="1:4" ht="12.75">
      <c r="A63" s="11" t="s">
        <v>82</v>
      </c>
      <c r="D63" s="12">
        <f>(0.77*2*D4)+(3.2*5*D4)+(3.52*5*D4)</f>
        <v>161861.86800000002</v>
      </c>
    </row>
    <row r="64" spans="1:4" ht="12.75">
      <c r="A64" s="11" t="s">
        <v>37</v>
      </c>
      <c r="D64" s="12">
        <f>2.25*12*D5</f>
        <v>2160</v>
      </c>
    </row>
    <row r="65" spans="1:4" ht="12.75">
      <c r="A65" s="11" t="s">
        <v>38</v>
      </c>
      <c r="D65" s="12">
        <v>17217</v>
      </c>
    </row>
    <row r="66" spans="1:4" ht="12.75">
      <c r="A66" s="11" t="s">
        <v>39</v>
      </c>
      <c r="D66" s="12">
        <f>(1.76*2*D4)+(0.57*5*D4)+(0.64*5*D4)</f>
        <v>44081.334</v>
      </c>
    </row>
    <row r="67" spans="1:4" ht="12.75" hidden="1">
      <c r="A67" s="15" t="s">
        <v>65</v>
      </c>
      <c r="D67" s="12">
        <v>0</v>
      </c>
    </row>
    <row r="68" spans="1:7" ht="12.75">
      <c r="A68" s="11" t="s">
        <v>67</v>
      </c>
      <c r="D68" s="12">
        <f>(3.85*7*D4)+(3.5*0*D4)+(4.24*5*D4)</f>
        <v>221788.53</v>
      </c>
      <c r="G68" s="17"/>
    </row>
    <row r="69" spans="1:7" ht="12.75">
      <c r="A69" s="11"/>
      <c r="D69" s="12"/>
      <c r="G69" s="18"/>
    </row>
    <row r="70" spans="1:7" ht="12.75">
      <c r="A70" s="11" t="s">
        <v>40</v>
      </c>
      <c r="D70" s="12">
        <f>D52+D55+D57+D58+D60+D61+D62+D63+D64+D65+D66+D67+D68-D67+D56+D59</f>
        <v>1030115.466</v>
      </c>
      <c r="G70" s="18"/>
    </row>
    <row r="71" spans="1:7" ht="12.75">
      <c r="A71" s="11"/>
      <c r="D71" s="12"/>
      <c r="G71" s="18"/>
    </row>
    <row r="72" spans="1:7" ht="12.75">
      <c r="A72" t="s">
        <v>69</v>
      </c>
      <c r="D72" s="12">
        <f>C48-D70</f>
        <v>110451.63400000008</v>
      </c>
      <c r="G72" s="18"/>
    </row>
    <row r="74" ht="12.75">
      <c r="D74" s="12"/>
    </row>
    <row r="76" spans="1:2" ht="12.75">
      <c r="A76">
        <v>13941.45</v>
      </c>
      <c r="B76" t="s">
        <v>164</v>
      </c>
    </row>
    <row r="77" spans="1:2" ht="12.75">
      <c r="A77">
        <v>1524</v>
      </c>
      <c r="B77" t="s">
        <v>103</v>
      </c>
    </row>
    <row r="78" spans="1:2" ht="12.75">
      <c r="A78">
        <v>647</v>
      </c>
      <c r="B78" t="s">
        <v>100</v>
      </c>
    </row>
    <row r="79" spans="1:2" ht="12.75">
      <c r="A79" s="17">
        <v>23938</v>
      </c>
      <c r="B79" t="s">
        <v>104</v>
      </c>
    </row>
    <row r="80" spans="1:2" ht="12.75">
      <c r="A80" s="18">
        <v>544</v>
      </c>
      <c r="B80" t="s">
        <v>105</v>
      </c>
    </row>
    <row r="81" spans="1:2" ht="12.75">
      <c r="A81" s="18">
        <v>710</v>
      </c>
      <c r="B81" t="s">
        <v>106</v>
      </c>
    </row>
    <row r="82" spans="1:2" ht="12.75">
      <c r="A82" s="18">
        <v>11058</v>
      </c>
      <c r="B82" t="s">
        <v>84</v>
      </c>
    </row>
    <row r="83" spans="1:2" ht="12.75">
      <c r="A83" s="18">
        <v>69438</v>
      </c>
      <c r="B83" t="s">
        <v>107</v>
      </c>
    </row>
    <row r="84" spans="1:2" ht="12.75">
      <c r="A84" s="18">
        <v>1104</v>
      </c>
      <c r="B84" t="s">
        <v>93</v>
      </c>
    </row>
    <row r="85" spans="1:2" ht="12.75">
      <c r="A85" s="18">
        <v>1362</v>
      </c>
      <c r="B85" t="s">
        <v>109</v>
      </c>
    </row>
    <row r="86" spans="1:2" ht="12.75">
      <c r="A86" s="18">
        <v>18612</v>
      </c>
      <c r="B86" t="s">
        <v>95</v>
      </c>
    </row>
    <row r="87" spans="1:2" ht="12.75">
      <c r="A87">
        <v>6849</v>
      </c>
      <c r="B87" t="s">
        <v>98</v>
      </c>
    </row>
    <row r="88" spans="1:2" ht="12.75">
      <c r="A88">
        <v>1386</v>
      </c>
      <c r="B88" t="s">
        <v>154</v>
      </c>
    </row>
    <row r="89" spans="1:2" ht="12.75">
      <c r="A89" s="17">
        <v>7092</v>
      </c>
      <c r="B89" t="s">
        <v>159</v>
      </c>
    </row>
    <row r="90" spans="1:2" ht="12.75">
      <c r="A90">
        <v>2446</v>
      </c>
      <c r="B90" t="s">
        <v>159</v>
      </c>
    </row>
    <row r="91" spans="1:2" ht="12.75">
      <c r="A91">
        <v>347</v>
      </c>
      <c r="B91" t="s">
        <v>94</v>
      </c>
    </row>
    <row r="92" spans="1:2" ht="12.75">
      <c r="A92" s="17">
        <v>470</v>
      </c>
      <c r="B92" t="s">
        <v>94</v>
      </c>
    </row>
    <row r="93" spans="1:2" ht="12.75">
      <c r="A93" s="18">
        <v>590</v>
      </c>
      <c r="B93" t="s">
        <v>94</v>
      </c>
    </row>
    <row r="94" spans="1:2" ht="12.75">
      <c r="A94" s="18">
        <v>4452</v>
      </c>
      <c r="B94" t="s">
        <v>100</v>
      </c>
    </row>
    <row r="95" spans="1:2" ht="12.75">
      <c r="A95" s="18">
        <v>699</v>
      </c>
      <c r="B95" t="s">
        <v>161</v>
      </c>
    </row>
    <row r="96" spans="1:2" ht="12.75">
      <c r="A96" s="18">
        <v>8213</v>
      </c>
      <c r="B96" t="s">
        <v>163</v>
      </c>
    </row>
    <row r="97" ht="12.75">
      <c r="A97">
        <f>SUM(A76:A96)</f>
        <v>175422.45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4"/>
  <dimension ref="A3:G73"/>
  <sheetViews>
    <sheetView zoomScalePageLayoutView="0" workbookViewId="0" topLeftCell="A1">
      <selection activeCell="A73" sqref="A73:D73"/>
    </sheetView>
  </sheetViews>
  <sheetFormatPr defaultColWidth="9.140625" defaultRowHeight="12.75"/>
  <cols>
    <col min="1" max="1" width="14.00390625" style="0" customWidth="1"/>
    <col min="2" max="2" width="14.8515625" style="0" customWidth="1"/>
    <col min="3" max="3" width="15.421875" style="0" customWidth="1"/>
    <col min="4" max="4" width="14.57421875" style="0" customWidth="1"/>
  </cols>
  <sheetData>
    <row r="3" spans="1:7" ht="12.75">
      <c r="A3" s="1" t="s">
        <v>0</v>
      </c>
      <c r="B3" s="2" t="s">
        <v>1</v>
      </c>
      <c r="C3" s="1" t="s">
        <v>52</v>
      </c>
      <c r="D3" s="1"/>
      <c r="E3" s="1" t="s">
        <v>2</v>
      </c>
      <c r="F3" s="3">
        <v>7</v>
      </c>
      <c r="G3">
        <v>2015</v>
      </c>
    </row>
    <row r="5" spans="1:5" ht="12.75">
      <c r="A5" t="s">
        <v>3</v>
      </c>
      <c r="D5" s="4">
        <v>4267.3</v>
      </c>
      <c r="E5" s="5" t="s">
        <v>41</v>
      </c>
    </row>
    <row r="6" spans="1:5" ht="12.75">
      <c r="A6" t="s">
        <v>4</v>
      </c>
      <c r="D6" s="4">
        <v>86</v>
      </c>
      <c r="E6" s="5"/>
    </row>
    <row r="7" spans="1:5" ht="12.75">
      <c r="A7" t="s">
        <v>5</v>
      </c>
      <c r="D7" s="4">
        <v>202</v>
      </c>
      <c r="E7" s="5" t="s">
        <v>6</v>
      </c>
    </row>
    <row r="8" spans="1:5" ht="12.75">
      <c r="A8" t="s">
        <v>7</v>
      </c>
      <c r="D8" s="4">
        <v>504.2</v>
      </c>
      <c r="E8" s="5" t="s">
        <v>41</v>
      </c>
    </row>
    <row r="9" spans="1:5" ht="12.75">
      <c r="A9" t="s">
        <v>8</v>
      </c>
      <c r="D9" s="4">
        <v>338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973315.1000000001</v>
      </c>
      <c r="C13" s="8">
        <f>SUM(C14:C25)</f>
        <v>924564.8500000001</v>
      </c>
      <c r="D13" s="8">
        <f>SUM(D14:D25)</f>
        <v>48750.24999999999</v>
      </c>
    </row>
    <row r="14" spans="1:4" ht="12.75" hidden="1">
      <c r="A14" s="9" t="s">
        <v>25</v>
      </c>
      <c r="B14" s="8">
        <v>77872.05</v>
      </c>
      <c r="C14" s="8">
        <v>63023.98</v>
      </c>
      <c r="D14" s="8">
        <f aca="true" t="shared" si="0" ref="D14:D25">B14-C14</f>
        <v>14848.07</v>
      </c>
    </row>
    <row r="15" spans="1:4" ht="12.75" hidden="1">
      <c r="A15" s="9" t="s">
        <v>13</v>
      </c>
      <c r="B15" s="8">
        <v>77872.05</v>
      </c>
      <c r="C15" s="13">
        <v>75935.07</v>
      </c>
      <c r="D15" s="8">
        <f t="shared" si="0"/>
        <v>1936.979999999996</v>
      </c>
    </row>
    <row r="16" spans="1:4" ht="12.75" hidden="1">
      <c r="A16" s="9" t="s">
        <v>14</v>
      </c>
      <c r="B16" s="8">
        <v>77872.05</v>
      </c>
      <c r="C16" s="13">
        <v>106156.72</v>
      </c>
      <c r="D16" s="8">
        <f t="shared" si="0"/>
        <v>-28284.67</v>
      </c>
    </row>
    <row r="17" spans="1:4" ht="12.75" hidden="1">
      <c r="A17" s="9" t="s">
        <v>15</v>
      </c>
      <c r="B17" s="8">
        <v>77872.05</v>
      </c>
      <c r="C17" s="13">
        <v>69480.09</v>
      </c>
      <c r="D17" s="8">
        <f t="shared" si="0"/>
        <v>8391.960000000006</v>
      </c>
    </row>
    <row r="18" spans="1:4" ht="12.75" hidden="1">
      <c r="A18" s="9" t="s">
        <v>16</v>
      </c>
      <c r="B18" s="8">
        <v>77872.05</v>
      </c>
      <c r="C18" s="13">
        <v>64860.81</v>
      </c>
      <c r="D18" s="8">
        <f t="shared" si="0"/>
        <v>13011.240000000005</v>
      </c>
    </row>
    <row r="19" spans="1:4" ht="12.75" hidden="1">
      <c r="A19" s="9" t="s">
        <v>17</v>
      </c>
      <c r="B19" s="8">
        <v>77872.05</v>
      </c>
      <c r="C19" s="13">
        <v>78025.27</v>
      </c>
      <c r="D19" s="8">
        <f t="shared" si="0"/>
        <v>-153.22000000000116</v>
      </c>
    </row>
    <row r="20" spans="1:4" ht="12.75" hidden="1">
      <c r="A20" s="9" t="s">
        <v>18</v>
      </c>
      <c r="B20" s="8">
        <v>77872.05</v>
      </c>
      <c r="C20" s="13">
        <v>71044</v>
      </c>
      <c r="D20" s="8">
        <f t="shared" si="0"/>
        <v>6828.050000000003</v>
      </c>
    </row>
    <row r="21" spans="1:4" ht="12.75" hidden="1">
      <c r="A21" s="9" t="s">
        <v>19</v>
      </c>
      <c r="B21" s="13">
        <v>85642.15</v>
      </c>
      <c r="C21" s="13">
        <v>75613.8</v>
      </c>
      <c r="D21" s="8">
        <f t="shared" si="0"/>
        <v>10028.349999999991</v>
      </c>
    </row>
    <row r="22" spans="1:4" ht="12.75" hidden="1">
      <c r="A22" s="9" t="s">
        <v>20</v>
      </c>
      <c r="B22" s="13">
        <v>85642.15</v>
      </c>
      <c r="C22" s="13">
        <v>80876.01</v>
      </c>
      <c r="D22" s="8">
        <f t="shared" si="0"/>
        <v>4766.139999999999</v>
      </c>
    </row>
    <row r="23" spans="1:4" ht="12.75" hidden="1">
      <c r="A23" s="9" t="s">
        <v>21</v>
      </c>
      <c r="B23" s="13">
        <v>85642.15</v>
      </c>
      <c r="C23" s="13">
        <v>78032.79</v>
      </c>
      <c r="D23" s="13">
        <f t="shared" si="0"/>
        <v>7609.360000000001</v>
      </c>
    </row>
    <row r="24" spans="1:4" ht="12.75" hidden="1">
      <c r="A24" s="9" t="s">
        <v>22</v>
      </c>
      <c r="B24" s="13">
        <v>85642.15</v>
      </c>
      <c r="C24" s="13">
        <v>82380.67</v>
      </c>
      <c r="D24" s="13">
        <f t="shared" si="0"/>
        <v>3261.479999999996</v>
      </c>
    </row>
    <row r="25" spans="1:4" ht="12.75" hidden="1">
      <c r="A25" s="9" t="s">
        <v>23</v>
      </c>
      <c r="B25" s="13">
        <v>85642.15</v>
      </c>
      <c r="C25" s="13">
        <v>79135.64</v>
      </c>
      <c r="D25" s="13">
        <f t="shared" si="0"/>
        <v>6506.509999999995</v>
      </c>
    </row>
    <row r="26" spans="1:4" ht="12.75">
      <c r="A26" s="7" t="s">
        <v>24</v>
      </c>
      <c r="B26" s="8">
        <f>SUM(B27:B38)</f>
        <v>546.2399999999999</v>
      </c>
      <c r="C26" s="8">
        <f>SUM(C27:C38)</f>
        <v>464.32</v>
      </c>
      <c r="D26" s="8">
        <f>SUM(D27:D38)</f>
        <v>81.92000000000004</v>
      </c>
    </row>
    <row r="27" spans="1:4" ht="12.75" hidden="1">
      <c r="A27" s="9" t="s">
        <v>25</v>
      </c>
      <c r="B27" s="8">
        <v>45.52</v>
      </c>
      <c r="C27" s="8">
        <v>28.33</v>
      </c>
      <c r="D27" s="8">
        <f aca="true" t="shared" si="1" ref="D27:D32">B27-C27</f>
        <v>17.190000000000005</v>
      </c>
    </row>
    <row r="28" spans="1:4" ht="12.75" hidden="1">
      <c r="A28" s="9" t="s">
        <v>13</v>
      </c>
      <c r="B28" s="8">
        <v>45.52</v>
      </c>
      <c r="C28" s="13">
        <v>33.4</v>
      </c>
      <c r="D28" s="8">
        <f t="shared" si="1"/>
        <v>12.120000000000005</v>
      </c>
    </row>
    <row r="29" spans="1:4" ht="12.75" hidden="1">
      <c r="A29" s="9" t="s">
        <v>14</v>
      </c>
      <c r="B29" s="8">
        <v>45.52</v>
      </c>
      <c r="C29" s="13">
        <v>62.02</v>
      </c>
      <c r="D29" s="8">
        <f t="shared" si="1"/>
        <v>-16.5</v>
      </c>
    </row>
    <row r="30" spans="1:4" ht="12.75" hidden="1">
      <c r="A30" s="9" t="s">
        <v>15</v>
      </c>
      <c r="B30" s="8">
        <v>45.52</v>
      </c>
      <c r="C30" s="13">
        <v>50.67</v>
      </c>
      <c r="D30" s="8">
        <f t="shared" si="1"/>
        <v>-5.149999999999999</v>
      </c>
    </row>
    <row r="31" spans="1:4" ht="12.75" hidden="1">
      <c r="A31" s="9" t="s">
        <v>16</v>
      </c>
      <c r="B31" s="8">
        <v>45.52</v>
      </c>
      <c r="C31" s="13">
        <v>34.76</v>
      </c>
      <c r="D31" s="8">
        <f t="shared" si="1"/>
        <v>10.760000000000005</v>
      </c>
    </row>
    <row r="32" spans="1:4" ht="12.75" hidden="1">
      <c r="A32" s="9" t="s">
        <v>17</v>
      </c>
      <c r="B32" s="8">
        <v>45.52</v>
      </c>
      <c r="C32" s="13">
        <v>41.08</v>
      </c>
      <c r="D32" s="8">
        <f t="shared" si="1"/>
        <v>4.440000000000005</v>
      </c>
    </row>
    <row r="33" spans="1:4" ht="12.75" hidden="1">
      <c r="A33" s="9" t="s">
        <v>18</v>
      </c>
      <c r="B33" s="8">
        <v>45.52</v>
      </c>
      <c r="C33" s="13">
        <v>32.64</v>
      </c>
      <c r="D33" s="8">
        <f aca="true" t="shared" si="2" ref="D33:D38">B33-C33</f>
        <v>12.880000000000003</v>
      </c>
    </row>
    <row r="34" spans="1:4" ht="12.75" hidden="1">
      <c r="A34" s="9" t="s">
        <v>19</v>
      </c>
      <c r="B34" s="8">
        <v>45.52</v>
      </c>
      <c r="C34" s="13">
        <v>32.84</v>
      </c>
      <c r="D34" s="8">
        <f t="shared" si="2"/>
        <v>12.68</v>
      </c>
    </row>
    <row r="35" spans="1:4" ht="12.75" hidden="1">
      <c r="A35" s="9" t="s">
        <v>20</v>
      </c>
      <c r="B35" s="8">
        <v>45.52</v>
      </c>
      <c r="C35" s="13">
        <v>32.73</v>
      </c>
      <c r="D35" s="8">
        <f t="shared" si="2"/>
        <v>12.790000000000006</v>
      </c>
    </row>
    <row r="36" spans="1:4" ht="12.75" hidden="1">
      <c r="A36" s="9" t="s">
        <v>21</v>
      </c>
      <c r="B36" s="8">
        <v>45.52</v>
      </c>
      <c r="C36" s="13">
        <v>31.59</v>
      </c>
      <c r="D36" s="13">
        <f t="shared" si="2"/>
        <v>13.930000000000003</v>
      </c>
    </row>
    <row r="37" spans="1:4" ht="12.75" hidden="1">
      <c r="A37" s="9" t="s">
        <v>22</v>
      </c>
      <c r="B37" s="8">
        <v>45.52</v>
      </c>
      <c r="C37" s="13">
        <v>43.33</v>
      </c>
      <c r="D37" s="13">
        <f t="shared" si="2"/>
        <v>2.190000000000005</v>
      </c>
    </row>
    <row r="38" spans="1:4" ht="12.75" hidden="1">
      <c r="A38" s="9" t="s">
        <v>23</v>
      </c>
      <c r="B38" s="8">
        <v>45.52</v>
      </c>
      <c r="C38" s="13">
        <v>40.93</v>
      </c>
      <c r="D38" s="13">
        <f t="shared" si="2"/>
        <v>4.590000000000003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147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973861.3400000001</v>
      </c>
      <c r="C48" s="8">
        <f>C13+C26</f>
        <v>925029.17</v>
      </c>
      <c r="D48" s="8">
        <f>D13+D26</f>
        <v>48832.16999999999</v>
      </c>
    </row>
    <row r="50" spans="1:4" ht="12.75">
      <c r="A50" t="s">
        <v>27</v>
      </c>
      <c r="D50" s="12">
        <f>D48</f>
        <v>48832.16999999999</v>
      </c>
    </row>
    <row r="52" spans="1:4" ht="12.75">
      <c r="A52" s="11" t="s">
        <v>28</v>
      </c>
      <c r="D52" s="12">
        <f>D53+D54</f>
        <v>85047.28899999999</v>
      </c>
    </row>
    <row r="53" spans="1:4" ht="12.75" hidden="1">
      <c r="A53" s="11" t="s">
        <v>29</v>
      </c>
      <c r="D53" s="12">
        <f>(2.75*2*D5)+(1.1*5*D5)+(1.21*5*D5)</f>
        <v>72757.465</v>
      </c>
    </row>
    <row r="54" spans="1:4" ht="12.75" hidden="1">
      <c r="A54" s="11" t="s">
        <v>30</v>
      </c>
      <c r="D54" s="12">
        <f>(0.24*12*D5)</f>
        <v>12289.824</v>
      </c>
    </row>
    <row r="55" spans="1:4" ht="12.75">
      <c r="A55" s="11" t="s">
        <v>31</v>
      </c>
      <c r="D55" s="12">
        <f>(0.66*2*D5)</f>
        <v>5632.836</v>
      </c>
    </row>
    <row r="56" spans="1:4" ht="12.75">
      <c r="A56" s="11" t="s">
        <v>81</v>
      </c>
      <c r="D56" s="12">
        <f>(0.5*2*D5)+(0.55*5*D5)+(0.6*5*D5)</f>
        <v>28804.275</v>
      </c>
    </row>
    <row r="57" spans="1:4" ht="12.75">
      <c r="A57" s="11" t="s">
        <v>90</v>
      </c>
      <c r="D57" s="12">
        <f>(2.2*7*D5)+(2.42*5*D5)</f>
        <v>117350.75000000001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6144.912</v>
      </c>
    </row>
    <row r="60" spans="1:4" ht="12.75">
      <c r="A60" s="11" t="s">
        <v>34</v>
      </c>
      <c r="D60" s="12">
        <f>(3.3*2*D5)+(1.2*5*D5)+(1.32*5*D5)</f>
        <v>81932.16</v>
      </c>
    </row>
    <row r="61" spans="1:4" ht="12.75">
      <c r="A61" s="11" t="s">
        <v>35</v>
      </c>
      <c r="D61" s="12">
        <f>(2.2*2*D5)+(4.1*5*D5)+(4.51*5*D5)</f>
        <v>202483.385</v>
      </c>
    </row>
    <row r="62" spans="1:4" ht="12.75">
      <c r="A62" s="11" t="s">
        <v>36</v>
      </c>
      <c r="D62" s="12">
        <f>(0.24*7*D5)+(0.26*5*D5)</f>
        <v>12716.554</v>
      </c>
    </row>
    <row r="63" spans="1:4" ht="12.75">
      <c r="A63" s="11" t="s">
        <v>82</v>
      </c>
      <c r="D63" s="12">
        <f>(0.77*2*D5)+(3.2*5*D5)+(3.52*5*D5)</f>
        <v>149952.92200000002</v>
      </c>
    </row>
    <row r="64" spans="1:4" ht="12.75">
      <c r="A64" s="11" t="s">
        <v>37</v>
      </c>
      <c r="D64" s="12">
        <f>2.25*12*D6</f>
        <v>2322</v>
      </c>
    </row>
    <row r="65" spans="1:7" ht="12.75">
      <c r="A65" s="11" t="s">
        <v>38</v>
      </c>
      <c r="D65" s="12">
        <v>28446</v>
      </c>
      <c r="G65" s="17"/>
    </row>
    <row r="66" spans="1:7" ht="12.75">
      <c r="A66" s="11" t="s">
        <v>39</v>
      </c>
      <c r="D66" s="12">
        <f>(1.76*2*D5)+(0.75*5*D5)+(0.83*5*D5)</f>
        <v>48732.566</v>
      </c>
      <c r="G66" s="17"/>
    </row>
    <row r="67" spans="1:7" ht="12.75" hidden="1">
      <c r="A67" s="15" t="s">
        <v>65</v>
      </c>
      <c r="D67" s="12">
        <v>0</v>
      </c>
      <c r="G67" s="17"/>
    </row>
    <row r="68" spans="1:7" ht="12.75">
      <c r="A68" s="11"/>
      <c r="D68" s="12"/>
      <c r="G68" s="17"/>
    </row>
    <row r="69" spans="1:7" ht="12.75">
      <c r="A69" s="11" t="s">
        <v>40</v>
      </c>
      <c r="D69" s="12">
        <f>D52+D55+D56+D57+D58+D59+D60+D61+D62+D63+D64+D65+D66</f>
        <v>769565.6490000001</v>
      </c>
      <c r="G69" s="18"/>
    </row>
    <row r="70" spans="1:7" ht="12.75">
      <c r="A70" s="11"/>
      <c r="D70" s="12"/>
      <c r="G70" s="18"/>
    </row>
    <row r="71" spans="1:7" ht="12.75">
      <c r="A71" t="s">
        <v>68</v>
      </c>
      <c r="D71" s="12">
        <f>C48-D69</f>
        <v>155463.52099999995</v>
      </c>
      <c r="G71" s="18"/>
    </row>
    <row r="73" ht="12.75">
      <c r="D73" s="12"/>
    </row>
    <row r="77" ht="12.75" hidden="1"/>
    <row r="80" ht="12.75" hidden="1"/>
    <row r="82" ht="12.75" hidden="1"/>
    <row r="83" ht="12.75" hidden="1"/>
    <row r="84" ht="12.75" hidden="1"/>
    <row r="87" ht="12.75" hidden="1"/>
    <row r="90" ht="12.75" hidden="1"/>
    <row r="91" ht="12.75" hidden="1"/>
    <row r="99" ht="12.75" hidden="1"/>
    <row r="100" ht="12.75" hidden="1"/>
    <row r="101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7"/>
  <dimension ref="A3:G75"/>
  <sheetViews>
    <sheetView zoomScalePageLayoutView="0" workbookViewId="0" topLeftCell="A1">
      <selection activeCell="L60" sqref="L60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15.8515625" style="0" customWidth="1"/>
    <col min="4" max="4" width="14.57421875" style="0" customWidth="1"/>
  </cols>
  <sheetData>
    <row r="2" ht="12.75" hidden="1"/>
    <row r="3" spans="1:7" ht="12.75">
      <c r="A3" s="1" t="s">
        <v>0</v>
      </c>
      <c r="B3" s="2" t="s">
        <v>1</v>
      </c>
      <c r="C3" s="1" t="s">
        <v>59</v>
      </c>
      <c r="D3" s="1"/>
      <c r="E3" s="1" t="s">
        <v>2</v>
      </c>
      <c r="F3" s="3">
        <v>10</v>
      </c>
      <c r="G3">
        <v>2015</v>
      </c>
    </row>
    <row r="5" spans="1:5" ht="12.75">
      <c r="A5" t="s">
        <v>3</v>
      </c>
      <c r="D5" s="4">
        <v>4204.8</v>
      </c>
      <c r="E5" s="5" t="s">
        <v>41</v>
      </c>
    </row>
    <row r="6" spans="1:5" ht="12.75">
      <c r="A6" t="s">
        <v>4</v>
      </c>
      <c r="D6" s="4">
        <v>81</v>
      </c>
      <c r="E6" s="5"/>
    </row>
    <row r="7" spans="1:5" ht="12.75">
      <c r="A7" t="s">
        <v>5</v>
      </c>
      <c r="D7" s="4">
        <v>202</v>
      </c>
      <c r="E7" s="5" t="s">
        <v>6</v>
      </c>
    </row>
    <row r="8" spans="1:5" ht="12.75">
      <c r="A8" t="s">
        <v>7</v>
      </c>
      <c r="D8" s="4">
        <v>468</v>
      </c>
      <c r="E8" s="5" t="s">
        <v>41</v>
      </c>
    </row>
    <row r="9" spans="1:5" ht="12.75">
      <c r="A9" t="s">
        <v>8</v>
      </c>
      <c r="D9" s="4">
        <v>2165</v>
      </c>
      <c r="E9" s="5" t="s">
        <v>41</v>
      </c>
    </row>
    <row r="10" ht="12.75" hidden="1"/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958929.4999999999</v>
      </c>
      <c r="C13" s="8">
        <f>SUM(C14:C25)</f>
        <v>931370.9</v>
      </c>
      <c r="D13" s="8">
        <f>SUM(D14:D25)</f>
        <v>27558.600000000064</v>
      </c>
    </row>
    <row r="14" spans="1:4" ht="12.75" hidden="1">
      <c r="A14" s="9" t="s">
        <v>25</v>
      </c>
      <c r="B14" s="8">
        <v>76721.1</v>
      </c>
      <c r="C14" s="8">
        <v>70367.17</v>
      </c>
      <c r="D14" s="8">
        <f aca="true" t="shared" si="0" ref="D14:D25">B14-C14</f>
        <v>6353.930000000008</v>
      </c>
    </row>
    <row r="15" spans="1:4" ht="12.75" hidden="1">
      <c r="A15" s="9" t="s">
        <v>13</v>
      </c>
      <c r="B15" s="8">
        <v>76721.1</v>
      </c>
      <c r="C15" s="13">
        <v>70109.36</v>
      </c>
      <c r="D15" s="8">
        <f t="shared" si="0"/>
        <v>6611.740000000005</v>
      </c>
    </row>
    <row r="16" spans="1:4" ht="12.75" hidden="1">
      <c r="A16" s="9" t="s">
        <v>14</v>
      </c>
      <c r="B16" s="8">
        <v>76721.1</v>
      </c>
      <c r="C16" s="13">
        <v>90581.13</v>
      </c>
      <c r="D16" s="8">
        <f t="shared" si="0"/>
        <v>-13860.029999999999</v>
      </c>
    </row>
    <row r="17" spans="1:4" ht="12.75" hidden="1">
      <c r="A17" s="9" t="s">
        <v>15</v>
      </c>
      <c r="B17" s="8">
        <v>76721.1</v>
      </c>
      <c r="C17" s="13">
        <v>71728.18</v>
      </c>
      <c r="D17" s="8">
        <f t="shared" si="0"/>
        <v>4992.920000000013</v>
      </c>
    </row>
    <row r="18" spans="1:4" ht="12.75" hidden="1">
      <c r="A18" s="9" t="s">
        <v>16</v>
      </c>
      <c r="B18" s="8">
        <v>76721.1</v>
      </c>
      <c r="C18" s="13">
        <v>65864.14</v>
      </c>
      <c r="D18" s="8">
        <f t="shared" si="0"/>
        <v>10856.960000000006</v>
      </c>
    </row>
    <row r="19" spans="1:4" ht="12.75" hidden="1">
      <c r="A19" s="9" t="s">
        <v>17</v>
      </c>
      <c r="B19" s="8">
        <v>76721.1</v>
      </c>
      <c r="C19" s="13">
        <v>72613.11</v>
      </c>
      <c r="D19" s="8">
        <f t="shared" si="0"/>
        <v>4107.990000000005</v>
      </c>
    </row>
    <row r="20" spans="1:4" ht="12.75" hidden="1">
      <c r="A20" s="9" t="s">
        <v>18</v>
      </c>
      <c r="B20" s="8">
        <v>76721.1</v>
      </c>
      <c r="C20" s="13">
        <v>83332.29</v>
      </c>
      <c r="D20" s="8">
        <f t="shared" si="0"/>
        <v>-6611.189999999988</v>
      </c>
    </row>
    <row r="21" spans="1:4" ht="12.75" hidden="1">
      <c r="A21" s="9" t="s">
        <v>19</v>
      </c>
      <c r="B21" s="13">
        <v>84376.36</v>
      </c>
      <c r="C21" s="13">
        <v>82081.68</v>
      </c>
      <c r="D21" s="8">
        <f t="shared" si="0"/>
        <v>2294.6800000000076</v>
      </c>
    </row>
    <row r="22" spans="1:4" ht="12.75" hidden="1">
      <c r="A22" s="9" t="s">
        <v>20</v>
      </c>
      <c r="B22" s="13">
        <v>84376.36</v>
      </c>
      <c r="C22" s="13">
        <v>78871.08</v>
      </c>
      <c r="D22" s="8">
        <f t="shared" si="0"/>
        <v>5505.279999999999</v>
      </c>
    </row>
    <row r="23" spans="1:4" ht="12.75" hidden="1">
      <c r="A23" s="9" t="s">
        <v>21</v>
      </c>
      <c r="B23" s="13">
        <v>84376.36</v>
      </c>
      <c r="C23" s="13">
        <v>75739.26</v>
      </c>
      <c r="D23" s="13">
        <f t="shared" si="0"/>
        <v>8637.100000000006</v>
      </c>
    </row>
    <row r="24" spans="1:4" ht="12.75" hidden="1">
      <c r="A24" s="9" t="s">
        <v>22</v>
      </c>
      <c r="B24" s="13">
        <v>84376.36</v>
      </c>
      <c r="C24" s="13">
        <v>76134.46</v>
      </c>
      <c r="D24" s="13">
        <f t="shared" si="0"/>
        <v>8241.899999999994</v>
      </c>
    </row>
    <row r="25" spans="1:4" ht="12.75" hidden="1">
      <c r="A25" s="9" t="s">
        <v>23</v>
      </c>
      <c r="B25" s="13">
        <v>84376.36</v>
      </c>
      <c r="C25" s="13">
        <v>93949.04</v>
      </c>
      <c r="D25" s="13">
        <f t="shared" si="0"/>
        <v>-9572.679999999993</v>
      </c>
    </row>
    <row r="26" spans="1:4" ht="12.75">
      <c r="A26" s="7" t="s">
        <v>24</v>
      </c>
      <c r="B26" s="8">
        <f>SUM(B27:B38)</f>
        <v>247.7700000000001</v>
      </c>
      <c r="C26" s="8">
        <f>SUM(C27:C38)</f>
        <v>242.55000000000007</v>
      </c>
      <c r="D26" s="8">
        <f>SUM(D27:D38)</f>
        <v>5.220000000000013</v>
      </c>
    </row>
    <row r="27" spans="1:4" ht="12.75" hidden="1">
      <c r="A27" s="9" t="s">
        <v>25</v>
      </c>
      <c r="B27" s="8">
        <v>28.65</v>
      </c>
      <c r="C27" s="8">
        <v>24.95</v>
      </c>
      <c r="D27" s="8">
        <f aca="true" t="shared" si="1" ref="D27:D38">B27-C27</f>
        <v>3.6999999999999993</v>
      </c>
    </row>
    <row r="28" spans="1:4" ht="12.75" hidden="1">
      <c r="A28" s="9" t="s">
        <v>13</v>
      </c>
      <c r="B28" s="8">
        <v>19.92</v>
      </c>
      <c r="C28" s="13">
        <v>20.83</v>
      </c>
      <c r="D28" s="8">
        <f t="shared" si="1"/>
        <v>-0.9099999999999966</v>
      </c>
    </row>
    <row r="29" spans="1:4" ht="12.75" hidden="1">
      <c r="A29" s="9" t="s">
        <v>14</v>
      </c>
      <c r="B29" s="8">
        <v>19.92</v>
      </c>
      <c r="C29" s="13">
        <v>12.23</v>
      </c>
      <c r="D29" s="8">
        <f t="shared" si="1"/>
        <v>7.690000000000001</v>
      </c>
    </row>
    <row r="30" spans="1:4" ht="12.75" hidden="1">
      <c r="A30" s="9" t="s">
        <v>15</v>
      </c>
      <c r="B30" s="8">
        <v>19.92</v>
      </c>
      <c r="C30" s="13">
        <v>44.92</v>
      </c>
      <c r="D30" s="8">
        <f t="shared" si="1"/>
        <v>-25</v>
      </c>
    </row>
    <row r="31" spans="1:4" ht="12.75" hidden="1">
      <c r="A31" s="9" t="s">
        <v>16</v>
      </c>
      <c r="B31" s="8">
        <v>19.92</v>
      </c>
      <c r="C31" s="13">
        <v>13.12</v>
      </c>
      <c r="D31" s="8">
        <f t="shared" si="1"/>
        <v>6.8000000000000025</v>
      </c>
    </row>
    <row r="32" spans="1:4" ht="12.75" hidden="1">
      <c r="A32" s="9" t="s">
        <v>17</v>
      </c>
      <c r="B32" s="8">
        <v>19.92</v>
      </c>
      <c r="C32" s="13">
        <v>17.46</v>
      </c>
      <c r="D32" s="8">
        <f t="shared" si="1"/>
        <v>2.460000000000001</v>
      </c>
    </row>
    <row r="33" spans="1:4" ht="12.75" hidden="1">
      <c r="A33" s="9" t="s">
        <v>18</v>
      </c>
      <c r="B33" s="8">
        <v>19.92</v>
      </c>
      <c r="C33" s="13">
        <v>26.14</v>
      </c>
      <c r="D33" s="8">
        <f t="shared" si="1"/>
        <v>-6.219999999999999</v>
      </c>
    </row>
    <row r="34" spans="1:4" ht="12.75" hidden="1">
      <c r="A34" s="9" t="s">
        <v>19</v>
      </c>
      <c r="B34" s="8">
        <v>19.92</v>
      </c>
      <c r="C34" s="13">
        <v>17.46</v>
      </c>
      <c r="D34" s="8">
        <f t="shared" si="1"/>
        <v>2.460000000000001</v>
      </c>
    </row>
    <row r="35" spans="1:4" ht="12.75" hidden="1">
      <c r="A35" s="9" t="s">
        <v>20</v>
      </c>
      <c r="B35" s="8">
        <v>19.92</v>
      </c>
      <c r="C35" s="13">
        <v>17.46</v>
      </c>
      <c r="D35" s="8">
        <f t="shared" si="1"/>
        <v>2.460000000000001</v>
      </c>
    </row>
    <row r="36" spans="1:4" ht="12.75" hidden="1">
      <c r="A36" s="9" t="s">
        <v>21</v>
      </c>
      <c r="B36" s="8">
        <v>19.92</v>
      </c>
      <c r="C36" s="13">
        <v>17.46</v>
      </c>
      <c r="D36" s="13">
        <f t="shared" si="1"/>
        <v>2.460000000000001</v>
      </c>
    </row>
    <row r="37" spans="1:4" ht="12.75" hidden="1">
      <c r="A37" s="9" t="s">
        <v>22</v>
      </c>
      <c r="B37" s="8">
        <v>19.92</v>
      </c>
      <c r="C37" s="13">
        <v>17.46</v>
      </c>
      <c r="D37" s="13">
        <f t="shared" si="1"/>
        <v>2.460000000000001</v>
      </c>
    </row>
    <row r="38" spans="1:4" ht="12.75" hidden="1">
      <c r="A38" s="9" t="s">
        <v>23</v>
      </c>
      <c r="B38" s="8">
        <v>19.92</v>
      </c>
      <c r="C38" s="13">
        <v>13.06</v>
      </c>
      <c r="D38" s="13">
        <f t="shared" si="1"/>
        <v>6.860000000000001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148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17</v>
      </c>
      <c r="B43" s="8"/>
      <c r="C43" s="8"/>
      <c r="D43" s="8">
        <f>B43-C43</f>
        <v>0</v>
      </c>
    </row>
    <row r="44" spans="1:4" ht="12.75" hidden="1">
      <c r="A44" s="9" t="s">
        <v>18</v>
      </c>
      <c r="B44" s="13"/>
      <c r="C44" s="13"/>
      <c r="D44" s="8">
        <f>B44-C44</f>
        <v>0</v>
      </c>
    </row>
    <row r="45" spans="1:4" ht="12.75" hidden="1">
      <c r="A45" s="9" t="s">
        <v>19</v>
      </c>
      <c r="B45" s="13"/>
      <c r="C45" s="13"/>
      <c r="D45" s="13">
        <f>B45-C45</f>
        <v>0</v>
      </c>
    </row>
    <row r="46" spans="1:4" ht="12.75" hidden="1">
      <c r="A46" s="9" t="s">
        <v>20</v>
      </c>
      <c r="B46" s="13"/>
      <c r="C46" s="13"/>
      <c r="D46" s="13">
        <f>B46-C46</f>
        <v>0</v>
      </c>
    </row>
    <row r="47" spans="1:4" ht="12.75" hidden="1">
      <c r="A47" s="9" t="s">
        <v>21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959177.2699999999</v>
      </c>
      <c r="C48" s="8">
        <f>C13+C26</f>
        <v>931613.4500000001</v>
      </c>
      <c r="D48" s="8">
        <f>D13+D26</f>
        <v>27563.820000000065</v>
      </c>
    </row>
    <row r="50" spans="1:4" ht="12.75">
      <c r="A50" t="s">
        <v>27</v>
      </c>
      <c r="D50" s="12">
        <f>D48</f>
        <v>27563.820000000065</v>
      </c>
    </row>
    <row r="52" spans="1:4" ht="12.75">
      <c r="A52" s="11" t="s">
        <v>28</v>
      </c>
      <c r="D52" s="12">
        <f>D53+D54</f>
        <v>83801.66399999999</v>
      </c>
    </row>
    <row r="53" spans="1:4" ht="12.75" hidden="1">
      <c r="A53" s="11" t="s">
        <v>29</v>
      </c>
      <c r="D53" s="12">
        <f>(2.75*2*D5)+(1.1*5*D5)+(1.21*5*D5)</f>
        <v>71691.84</v>
      </c>
    </row>
    <row r="54" spans="1:4" ht="12.75" hidden="1">
      <c r="A54" s="11" t="s">
        <v>30</v>
      </c>
      <c r="D54" s="12">
        <f>(0.24*12*D5)</f>
        <v>12109.824</v>
      </c>
    </row>
    <row r="55" spans="1:4" ht="12.75">
      <c r="A55" s="11" t="s">
        <v>31</v>
      </c>
      <c r="D55" s="12">
        <f>(0.66*2*D5)</f>
        <v>5550.336</v>
      </c>
    </row>
    <row r="56" spans="1:4" ht="12.75">
      <c r="A56" s="11" t="s">
        <v>81</v>
      </c>
      <c r="D56" s="12">
        <f>(0.5*2*D5)+(0.55*5*D5)+(0.6*5*D5)</f>
        <v>28382.4</v>
      </c>
    </row>
    <row r="57" spans="1:4" ht="12.75">
      <c r="A57" s="11" t="s">
        <v>90</v>
      </c>
      <c r="D57" s="12">
        <f>(2.2*7*D5)+(2.42*5*D5)</f>
        <v>115632.00000000001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6054.912</v>
      </c>
    </row>
    <row r="60" spans="1:4" ht="12.75">
      <c r="A60" s="11" t="s">
        <v>34</v>
      </c>
      <c r="D60" s="12">
        <f>(3.3*2*D5)+(1.2*5*D5)+(1.32*5*D5)</f>
        <v>80732.16</v>
      </c>
    </row>
    <row r="61" spans="1:4" ht="12.75">
      <c r="A61" s="11" t="s">
        <v>35</v>
      </c>
      <c r="D61" s="12">
        <f>(2.2*2*D5)+(4.1*5*D5)+(4.51*5*D5)</f>
        <v>199517.76</v>
      </c>
    </row>
    <row r="62" spans="1:4" ht="12.75">
      <c r="A62" s="11" t="s">
        <v>36</v>
      </c>
      <c r="D62" s="12">
        <f>(0.24*7*D5)+(0.26*5*D5)</f>
        <v>12530.304</v>
      </c>
    </row>
    <row r="63" spans="1:4" ht="12.75">
      <c r="A63" s="11" t="s">
        <v>82</v>
      </c>
      <c r="D63" s="12">
        <f>(0.77*2*D5)+(3.2*5*D5)+(3.52*5*D5)</f>
        <v>147756.67200000002</v>
      </c>
    </row>
    <row r="64" spans="1:4" ht="12.75">
      <c r="A64" s="11" t="s">
        <v>37</v>
      </c>
      <c r="D64" s="12">
        <f>2.25*12*D6</f>
        <v>2187</v>
      </c>
    </row>
    <row r="65" spans="1:4" ht="12.75">
      <c r="A65" s="11" t="s">
        <v>38</v>
      </c>
      <c r="D65" s="12">
        <v>95433.33</v>
      </c>
    </row>
    <row r="66" spans="1:4" ht="12.75">
      <c r="A66" s="11" t="s">
        <v>39</v>
      </c>
      <c r="D66" s="12">
        <f>(1.76*2*D5)+(0.75*5*D5)+(0.83*5*D5)</f>
        <v>48018.816</v>
      </c>
    </row>
    <row r="67" spans="1:4" ht="12.75" hidden="1">
      <c r="A67" s="15" t="s">
        <v>65</v>
      </c>
      <c r="D67" s="12">
        <v>0</v>
      </c>
    </row>
    <row r="68" spans="1:7" ht="12.75">
      <c r="A68" s="11"/>
      <c r="D68" s="12"/>
      <c r="G68" s="17"/>
    </row>
    <row r="69" spans="1:7" ht="12.75">
      <c r="A69" s="11" t="s">
        <v>40</v>
      </c>
      <c r="D69" s="12">
        <f>D52+D55+D56+D57+D58+D59+D60+D61+D62+D63+D64+D65+D66</f>
        <v>825597.354</v>
      </c>
      <c r="G69" s="18"/>
    </row>
    <row r="70" spans="1:7" ht="12.75">
      <c r="A70" s="11"/>
      <c r="D70" s="12"/>
      <c r="G70" s="18"/>
    </row>
    <row r="71" spans="1:7" ht="12.75">
      <c r="A71" t="s">
        <v>69</v>
      </c>
      <c r="D71" s="12">
        <f>C48-D69</f>
        <v>106016.09600000002</v>
      </c>
      <c r="G71" s="18"/>
    </row>
    <row r="72" ht="12.75">
      <c r="G72" s="18"/>
    </row>
    <row r="73" spans="4:7" ht="12.75">
      <c r="D73" s="12"/>
      <c r="G73" s="18"/>
    </row>
    <row r="74" ht="12.75">
      <c r="G74" s="18"/>
    </row>
    <row r="75" ht="12.75">
      <c r="G75" s="18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8"/>
  <dimension ref="A3:N102"/>
  <sheetViews>
    <sheetView zoomScalePageLayoutView="0" workbookViewId="0" topLeftCell="H7">
      <selection activeCell="N65" sqref="N65:R80"/>
    </sheetView>
  </sheetViews>
  <sheetFormatPr defaultColWidth="9.140625" defaultRowHeight="12.75"/>
  <cols>
    <col min="1" max="1" width="21.57421875" style="0" hidden="1" customWidth="1"/>
    <col min="2" max="2" width="15.140625" style="0" hidden="1" customWidth="1"/>
    <col min="3" max="3" width="15.57421875" style="0" hidden="1" customWidth="1"/>
    <col min="4" max="4" width="5.7109375" style="0" hidden="1" customWidth="1"/>
    <col min="5" max="5" width="3.28125" style="0" hidden="1" customWidth="1"/>
    <col min="6" max="6" width="0" style="0" hidden="1" customWidth="1"/>
    <col min="7" max="7" width="26.7109375" style="0" hidden="1" customWidth="1"/>
    <col min="8" max="8" width="16.00390625" style="0" customWidth="1"/>
    <col min="9" max="9" width="13.7109375" style="0" customWidth="1"/>
    <col min="10" max="10" width="14.57421875" style="0" customWidth="1"/>
    <col min="11" max="11" width="16.421875" style="0" customWidth="1"/>
  </cols>
  <sheetData>
    <row r="3" spans="1:14" ht="12.75">
      <c r="A3" s="2" t="s">
        <v>1</v>
      </c>
      <c r="B3" s="1" t="s">
        <v>59</v>
      </c>
      <c r="C3" s="1"/>
      <c r="D3" s="1" t="s">
        <v>2</v>
      </c>
      <c r="E3" s="3">
        <v>12</v>
      </c>
      <c r="F3">
        <v>2014</v>
      </c>
      <c r="H3" s="1" t="s">
        <v>0</v>
      </c>
      <c r="I3" s="2" t="s">
        <v>1</v>
      </c>
      <c r="J3" s="1" t="s">
        <v>59</v>
      </c>
      <c r="K3" s="1"/>
      <c r="L3" s="1" t="s">
        <v>2</v>
      </c>
      <c r="M3" s="3">
        <v>12</v>
      </c>
      <c r="N3">
        <v>2015</v>
      </c>
    </row>
    <row r="5" spans="3:12" ht="12.75">
      <c r="C5" s="4">
        <v>4263.9</v>
      </c>
      <c r="D5" s="5" t="s">
        <v>41</v>
      </c>
      <c r="H5" t="s">
        <v>3</v>
      </c>
      <c r="K5" s="4">
        <v>4263.9</v>
      </c>
      <c r="L5" s="5" t="s">
        <v>41</v>
      </c>
    </row>
    <row r="6" spans="3:12" ht="12.75">
      <c r="C6" s="4">
        <v>81</v>
      </c>
      <c r="D6" s="5"/>
      <c r="H6" t="s">
        <v>4</v>
      </c>
      <c r="K6" s="4">
        <v>81</v>
      </c>
      <c r="L6" s="5"/>
    </row>
    <row r="7" spans="3:12" ht="12.75">
      <c r="C7" s="4">
        <v>184</v>
      </c>
      <c r="D7" s="5" t="s">
        <v>6</v>
      </c>
      <c r="H7" t="s">
        <v>5</v>
      </c>
      <c r="K7" s="4">
        <v>184</v>
      </c>
      <c r="L7" s="5" t="s">
        <v>6</v>
      </c>
    </row>
    <row r="8" spans="3:12" ht="12.75">
      <c r="C8" s="4">
        <v>540.1</v>
      </c>
      <c r="D8" s="5" t="s">
        <v>41</v>
      </c>
      <c r="H8" t="s">
        <v>7</v>
      </c>
      <c r="K8" s="4">
        <v>540.1</v>
      </c>
      <c r="L8" s="5" t="s">
        <v>41</v>
      </c>
    </row>
    <row r="9" spans="3:12" ht="12.75">
      <c r="C9" s="4">
        <v>8133</v>
      </c>
      <c r="D9" s="5" t="s">
        <v>41</v>
      </c>
      <c r="H9" t="s">
        <v>8</v>
      </c>
      <c r="K9" s="4">
        <v>8133</v>
      </c>
      <c r="L9" s="5" t="s">
        <v>41</v>
      </c>
    </row>
    <row r="10" ht="12.75" hidden="1"/>
    <row r="11" ht="12.75" hidden="1"/>
    <row r="12" spans="1:11" ht="12.75">
      <c r="A12" s="6" t="s">
        <v>9</v>
      </c>
      <c r="B12" s="6" t="s">
        <v>10</v>
      </c>
      <c r="C12" s="6" t="s">
        <v>11</v>
      </c>
      <c r="I12" s="6" t="s">
        <v>9</v>
      </c>
      <c r="J12" s="6" t="s">
        <v>10</v>
      </c>
      <c r="K12" s="6" t="s">
        <v>11</v>
      </c>
    </row>
    <row r="13" spans="1:11" ht="12.75">
      <c r="A13" s="8" t="e">
        <f>SUM(A14:A25)+#REF!</f>
        <v>#REF!</v>
      </c>
      <c r="B13" s="8" t="e">
        <f>SUM(B14:B25)+#REF!</f>
        <v>#REF!</v>
      </c>
      <c r="C13" s="8" t="e">
        <f>SUM(C14:C25)+#REF!</f>
        <v>#REF!</v>
      </c>
      <c r="H13" s="7" t="s">
        <v>12</v>
      </c>
      <c r="I13" s="8">
        <f>SUM(I14:I25)</f>
        <v>972084.0100000002</v>
      </c>
      <c r="J13" s="8">
        <f>SUM(J14:J25)</f>
        <v>999620.01</v>
      </c>
      <c r="K13" s="8">
        <f>SUM(K14:K25)</f>
        <v>-27536.00000000003</v>
      </c>
    </row>
    <row r="14" spans="1:11" ht="12.75" hidden="1">
      <c r="A14" s="8">
        <v>70695.43</v>
      </c>
      <c r="B14" s="8">
        <v>69471.07</v>
      </c>
      <c r="C14" s="8">
        <f aca="true" t="shared" si="0" ref="C14:C25">A14-B14</f>
        <v>1224.359999999986</v>
      </c>
      <c r="H14" s="9" t="s">
        <v>25</v>
      </c>
      <c r="I14" s="8">
        <v>77773.58</v>
      </c>
      <c r="J14" s="8">
        <v>69670.6</v>
      </c>
      <c r="K14" s="8">
        <f aca="true" t="shared" si="1" ref="K14:K25">I14-J14</f>
        <v>8102.979999999996</v>
      </c>
    </row>
    <row r="15" spans="1:11" ht="12.75" hidden="1">
      <c r="A15" s="8">
        <v>70695.43</v>
      </c>
      <c r="B15" s="13">
        <v>70283.85</v>
      </c>
      <c r="C15" s="8">
        <f t="shared" si="0"/>
        <v>411.5799999999872</v>
      </c>
      <c r="H15" s="9" t="s">
        <v>13</v>
      </c>
      <c r="I15" s="8">
        <v>77773.58</v>
      </c>
      <c r="J15" s="13">
        <v>74814.06</v>
      </c>
      <c r="K15" s="8">
        <f t="shared" si="1"/>
        <v>2959.520000000004</v>
      </c>
    </row>
    <row r="16" spans="1:11" ht="12.75" hidden="1">
      <c r="A16" s="8">
        <v>70695.43</v>
      </c>
      <c r="B16" s="13">
        <v>65785.62</v>
      </c>
      <c r="C16" s="8">
        <f t="shared" si="0"/>
        <v>4909.809999999998</v>
      </c>
      <c r="H16" s="9" t="s">
        <v>14</v>
      </c>
      <c r="I16" s="8">
        <v>77773.58</v>
      </c>
      <c r="J16" s="13">
        <v>111054.94</v>
      </c>
      <c r="K16" s="8">
        <f t="shared" si="1"/>
        <v>-33281.36</v>
      </c>
    </row>
    <row r="17" spans="1:11" ht="12.75" hidden="1">
      <c r="A17" s="8">
        <v>70695.43</v>
      </c>
      <c r="B17" s="13">
        <v>57943.42</v>
      </c>
      <c r="C17" s="8">
        <f t="shared" si="0"/>
        <v>12752.009999999995</v>
      </c>
      <c r="H17" s="9" t="s">
        <v>15</v>
      </c>
      <c r="I17" s="8">
        <v>77773.58</v>
      </c>
      <c r="J17" s="13">
        <v>69526.67</v>
      </c>
      <c r="K17" s="8">
        <f t="shared" si="1"/>
        <v>8246.910000000003</v>
      </c>
    </row>
    <row r="18" spans="1:11" ht="12.75" hidden="1">
      <c r="A18" s="8">
        <v>70695.43</v>
      </c>
      <c r="B18" s="13">
        <v>68734.56</v>
      </c>
      <c r="C18" s="8">
        <f t="shared" si="0"/>
        <v>1960.8699999999953</v>
      </c>
      <c r="H18" s="9" t="s">
        <v>16</v>
      </c>
      <c r="I18" s="8">
        <v>77773.58</v>
      </c>
      <c r="J18" s="13">
        <v>75896.34</v>
      </c>
      <c r="K18" s="8">
        <f t="shared" si="1"/>
        <v>1877.2400000000052</v>
      </c>
    </row>
    <row r="19" spans="1:11" ht="12.75" hidden="1">
      <c r="A19" s="8">
        <v>70695.43</v>
      </c>
      <c r="B19" s="13">
        <v>64930.71</v>
      </c>
      <c r="C19" s="8">
        <f t="shared" si="0"/>
        <v>5764.719999999994</v>
      </c>
      <c r="H19" s="9" t="s">
        <v>17</v>
      </c>
      <c r="I19" s="8">
        <v>77773.58</v>
      </c>
      <c r="J19" s="13">
        <v>78509.07</v>
      </c>
      <c r="K19" s="8">
        <f t="shared" si="1"/>
        <v>-735.4900000000052</v>
      </c>
    </row>
    <row r="20" spans="1:11" ht="12.75" hidden="1">
      <c r="A20" s="13">
        <v>77773.58</v>
      </c>
      <c r="B20" s="13">
        <v>67297.7</v>
      </c>
      <c r="C20" s="8">
        <f t="shared" si="0"/>
        <v>10475.880000000005</v>
      </c>
      <c r="H20" s="9" t="s">
        <v>18</v>
      </c>
      <c r="I20" s="8">
        <v>77773.58</v>
      </c>
      <c r="J20" s="13">
        <v>77598.29</v>
      </c>
      <c r="K20" s="8">
        <f t="shared" si="1"/>
        <v>175.29000000000815</v>
      </c>
    </row>
    <row r="21" spans="1:11" ht="12.75" hidden="1">
      <c r="A21" s="13">
        <v>77773.58</v>
      </c>
      <c r="B21" s="13">
        <v>73646.65</v>
      </c>
      <c r="C21" s="8">
        <f t="shared" si="0"/>
        <v>4126.930000000008</v>
      </c>
      <c r="H21" s="9" t="s">
        <v>19</v>
      </c>
      <c r="I21" s="13">
        <v>85533.79</v>
      </c>
      <c r="J21" s="13">
        <v>85179.98</v>
      </c>
      <c r="K21" s="8">
        <f t="shared" si="1"/>
        <v>353.8099999999977</v>
      </c>
    </row>
    <row r="22" spans="1:11" ht="12.75" hidden="1">
      <c r="A22" s="13">
        <v>77773.58</v>
      </c>
      <c r="B22" s="13">
        <v>73399.34</v>
      </c>
      <c r="C22" s="8">
        <f t="shared" si="0"/>
        <v>4374.240000000005</v>
      </c>
      <c r="H22" s="9" t="s">
        <v>20</v>
      </c>
      <c r="I22" s="13">
        <v>85533.79</v>
      </c>
      <c r="J22" s="13">
        <v>82720.33</v>
      </c>
      <c r="K22" s="8">
        <f t="shared" si="1"/>
        <v>2813.459999999992</v>
      </c>
    </row>
    <row r="23" spans="1:11" ht="12.75" hidden="1">
      <c r="A23" s="13">
        <v>77773.58</v>
      </c>
      <c r="B23" s="13">
        <v>87169.35</v>
      </c>
      <c r="C23" s="13">
        <f t="shared" si="0"/>
        <v>-9395.770000000004</v>
      </c>
      <c r="H23" s="9" t="s">
        <v>21</v>
      </c>
      <c r="I23" s="13">
        <v>85533.79</v>
      </c>
      <c r="J23" s="13">
        <v>85024.74</v>
      </c>
      <c r="K23" s="13">
        <f t="shared" si="1"/>
        <v>509.04999999998836</v>
      </c>
    </row>
    <row r="24" spans="1:11" ht="12.75" hidden="1">
      <c r="A24" s="13">
        <v>77773.58</v>
      </c>
      <c r="B24" s="13">
        <v>73335.74</v>
      </c>
      <c r="C24" s="13">
        <f t="shared" si="0"/>
        <v>4437.8399999999965</v>
      </c>
      <c r="H24" s="9" t="s">
        <v>22</v>
      </c>
      <c r="I24" s="13">
        <v>85533.79</v>
      </c>
      <c r="J24" s="13">
        <v>76696.05</v>
      </c>
      <c r="K24" s="13">
        <f t="shared" si="1"/>
        <v>8837.73999999999</v>
      </c>
    </row>
    <row r="25" spans="1:11" ht="12.75" hidden="1">
      <c r="A25" s="13">
        <v>77773.58</v>
      </c>
      <c r="B25" s="13">
        <v>77941.16</v>
      </c>
      <c r="C25" s="13">
        <f t="shared" si="0"/>
        <v>-167.58000000000175</v>
      </c>
      <c r="H25" s="9" t="s">
        <v>23</v>
      </c>
      <c r="I25" s="13">
        <v>85533.79</v>
      </c>
      <c r="J25" s="13">
        <v>112928.94</v>
      </c>
      <c r="K25" s="13">
        <f t="shared" si="1"/>
        <v>-27395.15000000001</v>
      </c>
    </row>
    <row r="26" spans="1:11" ht="12.75">
      <c r="A26" s="8" t="e">
        <f>SUM(A27:A38)+#REF!</f>
        <v>#REF!</v>
      </c>
      <c r="B26" s="8" t="e">
        <f>SUM(B27:B38)+#REF!</f>
        <v>#REF!</v>
      </c>
      <c r="C26" s="8" t="e">
        <f>SUM(C27:C38)+#REF!</f>
        <v>#REF!</v>
      </c>
      <c r="H26" s="7" t="s">
        <v>24</v>
      </c>
      <c r="I26" s="8">
        <f>SUM(I27:I38)</f>
        <v>213</v>
      </c>
      <c r="J26" s="8">
        <f>SUM(J27:J38)</f>
        <v>223.31</v>
      </c>
      <c r="K26" s="8">
        <f>SUM(K27:K38)</f>
        <v>-10.310000000000002</v>
      </c>
    </row>
    <row r="27" spans="1:11" ht="12.75" hidden="1">
      <c r="A27" s="8">
        <v>17.75</v>
      </c>
      <c r="B27" s="8">
        <v>17.75</v>
      </c>
      <c r="C27" s="8">
        <f aca="true" t="shared" si="2" ref="C27:C38">A27-B27</f>
        <v>0</v>
      </c>
      <c r="H27" s="9" t="s">
        <v>25</v>
      </c>
      <c r="I27" s="8">
        <v>17.75</v>
      </c>
      <c r="J27" s="8">
        <v>17.8</v>
      </c>
      <c r="K27" s="8">
        <f aca="true" t="shared" si="3" ref="K27:K38">I27-J27</f>
        <v>-0.05000000000000071</v>
      </c>
    </row>
    <row r="28" spans="1:11" ht="12.75" hidden="1">
      <c r="A28" s="8">
        <v>17.75</v>
      </c>
      <c r="B28" s="8">
        <v>17.75</v>
      </c>
      <c r="C28" s="8">
        <f t="shared" si="2"/>
        <v>0</v>
      </c>
      <c r="H28" s="9" t="s">
        <v>13</v>
      </c>
      <c r="I28" s="8">
        <v>17.75</v>
      </c>
      <c r="J28" s="8">
        <v>17.86</v>
      </c>
      <c r="K28" s="8">
        <f t="shared" si="3"/>
        <v>-0.10999999999999943</v>
      </c>
    </row>
    <row r="29" spans="1:11" ht="12.75" hidden="1">
      <c r="A29" s="8">
        <v>17.75</v>
      </c>
      <c r="B29" s="13">
        <v>12.85</v>
      </c>
      <c r="C29" s="8">
        <f t="shared" si="2"/>
        <v>4.9</v>
      </c>
      <c r="H29" s="9" t="s">
        <v>14</v>
      </c>
      <c r="I29" s="8">
        <v>17.75</v>
      </c>
      <c r="J29" s="13">
        <v>18.19</v>
      </c>
      <c r="K29" s="8">
        <f t="shared" si="3"/>
        <v>-0.4400000000000013</v>
      </c>
    </row>
    <row r="30" spans="1:11" ht="12.75" hidden="1">
      <c r="A30" s="8">
        <v>17.75</v>
      </c>
      <c r="B30" s="13">
        <v>13.81</v>
      </c>
      <c r="C30" s="8">
        <f t="shared" si="2"/>
        <v>3.9399999999999995</v>
      </c>
      <c r="H30" s="9" t="s">
        <v>15</v>
      </c>
      <c r="I30" s="8">
        <v>17.75</v>
      </c>
      <c r="J30" s="13">
        <v>19.02</v>
      </c>
      <c r="K30" s="8">
        <f t="shared" si="3"/>
        <v>-1.2699999999999996</v>
      </c>
    </row>
    <row r="31" spans="1:11" ht="12.75" hidden="1">
      <c r="A31" s="8">
        <v>17.75</v>
      </c>
      <c r="B31" s="13">
        <v>20.5</v>
      </c>
      <c r="C31" s="8">
        <f t="shared" si="2"/>
        <v>-2.75</v>
      </c>
      <c r="H31" s="9" t="s">
        <v>16</v>
      </c>
      <c r="I31" s="8">
        <v>17.75</v>
      </c>
      <c r="J31" s="13">
        <v>21.51</v>
      </c>
      <c r="K31" s="8">
        <f t="shared" si="3"/>
        <v>-3.7600000000000016</v>
      </c>
    </row>
    <row r="32" spans="1:11" ht="12.75" hidden="1">
      <c r="A32" s="8">
        <v>17.75</v>
      </c>
      <c r="B32" s="13">
        <v>18.11</v>
      </c>
      <c r="C32" s="8">
        <f t="shared" si="2"/>
        <v>-0.35999999999999943</v>
      </c>
      <c r="H32" s="9" t="s">
        <v>17</v>
      </c>
      <c r="I32" s="8">
        <v>17.75</v>
      </c>
      <c r="J32" s="13">
        <v>22.44</v>
      </c>
      <c r="K32" s="8">
        <f t="shared" si="3"/>
        <v>-4.690000000000001</v>
      </c>
    </row>
    <row r="33" spans="1:11" ht="12.75" hidden="1">
      <c r="A33" s="8">
        <v>17.75</v>
      </c>
      <c r="B33" s="13">
        <v>13.77</v>
      </c>
      <c r="C33" s="8">
        <f t="shared" si="2"/>
        <v>3.9800000000000004</v>
      </c>
      <c r="H33" s="9" t="s">
        <v>18</v>
      </c>
      <c r="I33" s="8">
        <v>17.75</v>
      </c>
      <c r="J33" s="13">
        <v>17.74</v>
      </c>
      <c r="K33" s="8">
        <f t="shared" si="3"/>
        <v>0.010000000000001563</v>
      </c>
    </row>
    <row r="34" spans="1:11" ht="12.75" hidden="1">
      <c r="A34" s="8">
        <v>17.75</v>
      </c>
      <c r="B34" s="13">
        <v>19.53</v>
      </c>
      <c r="C34" s="8">
        <f t="shared" si="2"/>
        <v>-1.7800000000000011</v>
      </c>
      <c r="H34" s="9" t="s">
        <v>19</v>
      </c>
      <c r="I34" s="8">
        <v>17.75</v>
      </c>
      <c r="J34" s="8">
        <v>17.75</v>
      </c>
      <c r="K34" s="8">
        <f t="shared" si="3"/>
        <v>0</v>
      </c>
    </row>
    <row r="35" spans="1:11" ht="12.75" hidden="1">
      <c r="A35" s="8">
        <v>17.75</v>
      </c>
      <c r="B35" s="13">
        <v>18.75</v>
      </c>
      <c r="C35" s="8">
        <f t="shared" si="2"/>
        <v>-1</v>
      </c>
      <c r="H35" s="9" t="s">
        <v>20</v>
      </c>
      <c r="I35" s="8">
        <v>17.75</v>
      </c>
      <c r="J35" s="8">
        <v>17.75</v>
      </c>
      <c r="K35" s="8">
        <f t="shared" si="3"/>
        <v>0</v>
      </c>
    </row>
    <row r="36" spans="1:11" ht="12.75" hidden="1">
      <c r="A36" s="8">
        <v>17.75</v>
      </c>
      <c r="B36" s="13">
        <v>18.3</v>
      </c>
      <c r="C36" s="13">
        <f t="shared" si="2"/>
        <v>-0.5500000000000007</v>
      </c>
      <c r="H36" s="9" t="s">
        <v>21</v>
      </c>
      <c r="I36" s="8">
        <v>17.75</v>
      </c>
      <c r="J36" s="8">
        <v>17.75</v>
      </c>
      <c r="K36" s="13">
        <f t="shared" si="3"/>
        <v>0</v>
      </c>
    </row>
    <row r="37" spans="1:11" ht="12.75" hidden="1">
      <c r="A37" s="8">
        <v>17.75</v>
      </c>
      <c r="B37" s="13">
        <v>18.05</v>
      </c>
      <c r="C37" s="13">
        <f t="shared" si="2"/>
        <v>-0.3000000000000007</v>
      </c>
      <c r="H37" s="9" t="s">
        <v>22</v>
      </c>
      <c r="I37" s="8">
        <v>17.75</v>
      </c>
      <c r="J37" s="8">
        <v>17.75</v>
      </c>
      <c r="K37" s="13">
        <f t="shared" si="3"/>
        <v>0</v>
      </c>
    </row>
    <row r="38" spans="1:11" ht="12.75" hidden="1">
      <c r="A38" s="8">
        <v>17.75</v>
      </c>
      <c r="B38" s="13">
        <v>13.51</v>
      </c>
      <c r="C38" s="13">
        <f t="shared" si="2"/>
        <v>4.24</v>
      </c>
      <c r="H38" s="9" t="s">
        <v>23</v>
      </c>
      <c r="I38" s="8">
        <v>17.75</v>
      </c>
      <c r="J38" s="8">
        <v>17.75</v>
      </c>
      <c r="K38" s="13">
        <f t="shared" si="3"/>
        <v>0</v>
      </c>
    </row>
    <row r="39" spans="1:11" ht="12.75" hidden="1">
      <c r="A39" s="13">
        <f>A40+A41</f>
        <v>0</v>
      </c>
      <c r="B39" s="13">
        <f>B40+B41</f>
        <v>0</v>
      </c>
      <c r="C39" s="13">
        <f>SUM(C40:C41)</f>
        <v>0</v>
      </c>
      <c r="H39" s="7" t="s">
        <v>42</v>
      </c>
      <c r="I39" s="13">
        <f>I40+I41</f>
        <v>0</v>
      </c>
      <c r="J39" s="13">
        <f>J40+J41</f>
        <v>0</v>
      </c>
      <c r="K39" s="13">
        <f>SUM(K40:K41)</f>
        <v>0</v>
      </c>
    </row>
    <row r="40" spans="1:11" ht="12.75" hidden="1">
      <c r="A40" s="13"/>
      <c r="B40" s="13"/>
      <c r="C40" s="13">
        <f>A40-B40</f>
        <v>0</v>
      </c>
      <c r="H40" s="9" t="s">
        <v>22</v>
      </c>
      <c r="I40" s="13"/>
      <c r="J40" s="13"/>
      <c r="K40" s="13">
        <f>I40-J40</f>
        <v>0</v>
      </c>
    </row>
    <row r="41" spans="1:11" ht="12.75" hidden="1">
      <c r="A41" s="13"/>
      <c r="B41" s="13"/>
      <c r="C41" s="13">
        <f>A41-B41</f>
        <v>0</v>
      </c>
      <c r="H41" s="9" t="s">
        <v>23</v>
      </c>
      <c r="I41" s="13"/>
      <c r="J41" s="13"/>
      <c r="K41" s="13">
        <f>I41-J41</f>
        <v>0</v>
      </c>
    </row>
    <row r="42" spans="1:11" ht="12.75" hidden="1">
      <c r="A42" s="13">
        <f>A43+A44+A45+A46+A47</f>
        <v>8773.24</v>
      </c>
      <c r="B42" s="13">
        <f>B43+B44+B45+B46+B47</f>
        <v>8093.8</v>
      </c>
      <c r="C42" s="13">
        <f>SUM(C43:C47)</f>
        <v>679.4399999999999</v>
      </c>
      <c r="H42" s="7" t="s">
        <v>148</v>
      </c>
      <c r="I42" s="13">
        <f>I43+I44+I45+I46+I47</f>
        <v>0</v>
      </c>
      <c r="J42" s="13">
        <f>J43+J44+J45+J46+J47</f>
        <v>0</v>
      </c>
      <c r="K42" s="13">
        <f>SUM(K43:K47)</f>
        <v>0</v>
      </c>
    </row>
    <row r="43" spans="1:11" ht="12.75" hidden="1">
      <c r="A43" s="8">
        <v>8773.24</v>
      </c>
      <c r="B43" s="8">
        <v>6657.45</v>
      </c>
      <c r="C43" s="8">
        <f>A43-B43</f>
        <v>2115.79</v>
      </c>
      <c r="H43" s="9" t="s">
        <v>17</v>
      </c>
      <c r="I43" s="8"/>
      <c r="J43" s="8"/>
      <c r="K43" s="8">
        <f>I43-J43</f>
        <v>0</v>
      </c>
    </row>
    <row r="44" spans="1:11" ht="12.75" hidden="1">
      <c r="A44" s="13"/>
      <c r="B44" s="13">
        <v>920.48</v>
      </c>
      <c r="C44" s="8">
        <f>A44-B44</f>
        <v>-920.48</v>
      </c>
      <c r="H44" s="9" t="s">
        <v>18</v>
      </c>
      <c r="I44" s="13"/>
      <c r="J44" s="13"/>
      <c r="K44" s="8">
        <f>I44-J44</f>
        <v>0</v>
      </c>
    </row>
    <row r="45" spans="1:11" ht="12.75" hidden="1">
      <c r="A45" s="13"/>
      <c r="B45" s="13">
        <v>322.85</v>
      </c>
      <c r="C45" s="13">
        <f>A45-B45</f>
        <v>-322.85</v>
      </c>
      <c r="H45" s="9" t="s">
        <v>19</v>
      </c>
      <c r="I45" s="13"/>
      <c r="J45" s="13"/>
      <c r="K45" s="13">
        <f>I45-J45</f>
        <v>0</v>
      </c>
    </row>
    <row r="46" spans="1:11" ht="12.75" hidden="1">
      <c r="A46" s="13"/>
      <c r="B46" s="13">
        <v>123.91</v>
      </c>
      <c r="C46" s="13">
        <f>A46-B46</f>
        <v>-123.91</v>
      </c>
      <c r="H46" s="9" t="s">
        <v>20</v>
      </c>
      <c r="I46" s="13"/>
      <c r="J46" s="13"/>
      <c r="K46" s="13">
        <f>I46-J46</f>
        <v>0</v>
      </c>
    </row>
    <row r="47" spans="1:11" ht="12.75" hidden="1">
      <c r="A47" s="13"/>
      <c r="B47" s="13">
        <v>69.11</v>
      </c>
      <c r="C47" s="13">
        <f>A47-B47</f>
        <v>-69.11</v>
      </c>
      <c r="H47" s="9" t="s">
        <v>21</v>
      </c>
      <c r="I47" s="13"/>
      <c r="J47" s="13"/>
      <c r="K47" s="13">
        <f>I47-J47</f>
        <v>0</v>
      </c>
    </row>
    <row r="48" spans="1:11" ht="12.75">
      <c r="A48" s="8" t="e">
        <f>A13+A26</f>
        <v>#REF!</v>
      </c>
      <c r="B48" s="8" t="e">
        <f>B13+B26</f>
        <v>#REF!</v>
      </c>
      <c r="C48" s="8" t="e">
        <f>C13+C26</f>
        <v>#REF!</v>
      </c>
      <c r="H48" s="9" t="s">
        <v>26</v>
      </c>
      <c r="I48" s="8">
        <f>I13+I26</f>
        <v>972297.0100000002</v>
      </c>
      <c r="J48" s="8">
        <f>J13+J26</f>
        <v>999843.3200000001</v>
      </c>
      <c r="K48" s="8">
        <f>K13+K26</f>
        <v>-27546.31000000003</v>
      </c>
    </row>
    <row r="50" spans="3:11" ht="12.75">
      <c r="C50" s="12" t="e">
        <f>C48</f>
        <v>#REF!</v>
      </c>
      <c r="H50" t="s">
        <v>27</v>
      </c>
      <c r="K50" s="12">
        <f>K48</f>
        <v>-27546.31000000003</v>
      </c>
    </row>
    <row r="52" spans="3:11" ht="12.75">
      <c r="C52" s="12" t="e">
        <f>C53+C54+#REF!</f>
        <v>#REF!</v>
      </c>
      <c r="H52" s="11" t="s">
        <v>28</v>
      </c>
      <c r="K52" s="12">
        <f>K53+K54</f>
        <v>84979.527</v>
      </c>
    </row>
    <row r="53" spans="3:11" ht="12.75" hidden="1">
      <c r="C53" s="12">
        <f>(2.75*6*C5)+(2.5*6*C5)</f>
        <v>134312.84999999998</v>
      </c>
      <c r="H53" s="11" t="s">
        <v>29</v>
      </c>
      <c r="K53" s="12">
        <f>(2.75*2*K5)+(1.1*5*K5)+(1.21*5*K5)</f>
        <v>72699.495</v>
      </c>
    </row>
    <row r="54" spans="3:11" ht="12.75" hidden="1">
      <c r="C54" s="12">
        <f>(0.24*12*C5)</f>
        <v>12280.032</v>
      </c>
      <c r="H54" s="11" t="s">
        <v>30</v>
      </c>
      <c r="K54" s="12">
        <f>(0.24*12*K5)</f>
        <v>12280.032</v>
      </c>
    </row>
    <row r="55" spans="3:11" ht="12.75">
      <c r="C55" s="12" t="e">
        <f>(0.66*6*C5)+(0.6*6*C5)+#REF!</f>
        <v>#REF!</v>
      </c>
      <c r="H55" s="11" t="s">
        <v>31</v>
      </c>
      <c r="K55" s="12">
        <f>(0.66*2*K5)</f>
        <v>5628.348</v>
      </c>
    </row>
    <row r="56" spans="3:14" ht="12.75">
      <c r="C56" s="12">
        <f>870.2*1*2.24</f>
        <v>1949.2480000000003</v>
      </c>
      <c r="F56">
        <v>1</v>
      </c>
      <c r="H56" s="11" t="s">
        <v>81</v>
      </c>
      <c r="K56" s="12">
        <f>(0.5*2*K5)+(0.55*5*K5)+(0.6*5*K5)</f>
        <v>28781.324999999997</v>
      </c>
      <c r="N56">
        <v>1</v>
      </c>
    </row>
    <row r="57" spans="3:11" ht="12.75">
      <c r="C57" s="12" t="e">
        <f>(2.2*6*C5)+(2*6*C5)+#REF!</f>
        <v>#REF!</v>
      </c>
      <c r="H57" s="11" t="s">
        <v>90</v>
      </c>
      <c r="K57" s="12">
        <f>(2.2*7*K5)+(2.42*5*K5)</f>
        <v>117257.25</v>
      </c>
    </row>
    <row r="58" spans="3:11" ht="12.75" hidden="1">
      <c r="C58" s="12" t="e">
        <f>#REF!</f>
        <v>#REF!</v>
      </c>
      <c r="H58" s="11" t="s">
        <v>33</v>
      </c>
      <c r="K58" s="12">
        <v>0</v>
      </c>
    </row>
    <row r="59" spans="3:11" ht="12.75">
      <c r="C59" s="12" t="e">
        <f>(0.72*1*C5)+(0.7*3*C5)+#REF!</f>
        <v>#REF!</v>
      </c>
      <c r="H59" s="11" t="s">
        <v>80</v>
      </c>
      <c r="K59" s="12">
        <f>(0.72*2*K5)</f>
        <v>6140.016</v>
      </c>
    </row>
    <row r="60" spans="3:11" ht="12.75">
      <c r="C60" s="12" t="e">
        <f>(3.3*6*C5)+(3*6*C5)+#REF!</f>
        <v>#REF!</v>
      </c>
      <c r="H60" s="11" t="s">
        <v>34</v>
      </c>
      <c r="K60" s="12">
        <f>(3.3*2*K5)+(1.2*5*K5)+(1.32*5*K5)</f>
        <v>81866.87999999999</v>
      </c>
    </row>
    <row r="61" spans="3:11" ht="12.75">
      <c r="C61" s="12" t="e">
        <f>(2.2*6*C5)+(2*6*C5)+#REF!</f>
        <v>#REF!</v>
      </c>
      <c r="H61" s="11" t="s">
        <v>35</v>
      </c>
      <c r="K61" s="12">
        <f>(2.2*2*K5)+(4.1*5*K5)+(4.51*5*K5)</f>
        <v>202322.055</v>
      </c>
    </row>
    <row r="62" spans="3:11" ht="12.75">
      <c r="C62" s="12" t="e">
        <f>(0.24*6*C5)+(0.22*6*C5)+#REF!</f>
        <v>#REF!</v>
      </c>
      <c r="H62" s="11" t="s">
        <v>36</v>
      </c>
      <c r="K62" s="12">
        <f>(0.24*7*K5)+(0.26*5*K5)</f>
        <v>12706.421999999999</v>
      </c>
    </row>
    <row r="63" spans="3:11" ht="12.75">
      <c r="C63" s="12" t="e">
        <f>(0.77*6*C5)+(0.7*6*C5)+#REF!</f>
        <v>#REF!</v>
      </c>
      <c r="H63" s="11" t="s">
        <v>82</v>
      </c>
      <c r="K63" s="12">
        <f>(0.77*2*K5)+(3.2*5*K5)+(3.52*5*K5)</f>
        <v>149833.446</v>
      </c>
    </row>
    <row r="64" spans="3:11" ht="12.75">
      <c r="C64" s="12" t="e">
        <f>2.25*12*C6+#REF!</f>
        <v>#REF!</v>
      </c>
      <c r="H64" s="11" t="s">
        <v>37</v>
      </c>
      <c r="K64" s="12">
        <f>2.25*12*K6</f>
        <v>2187</v>
      </c>
    </row>
    <row r="65" spans="3:11" ht="12.75">
      <c r="C65" s="12" t="e">
        <f>#REF!+F76+F77</f>
        <v>#REF!</v>
      </c>
      <c r="F65">
        <v>3778</v>
      </c>
      <c r="G65" t="s">
        <v>126</v>
      </c>
      <c r="H65" s="11" t="s">
        <v>38</v>
      </c>
      <c r="K65" s="12">
        <v>191847.3</v>
      </c>
    </row>
    <row r="66" spans="3:11" ht="12.75">
      <c r="C66" s="12" t="e">
        <f>(1.76*6*C5)+(1.6*6*C5)+#REF!</f>
        <v>#REF!</v>
      </c>
      <c r="F66">
        <v>8160</v>
      </c>
      <c r="G66" t="s">
        <v>111</v>
      </c>
      <c r="H66" s="11" t="s">
        <v>39</v>
      </c>
      <c r="K66" s="12">
        <f>(1.76*2*K5)+(0.75*5*K5)+(0.83*5*K5)</f>
        <v>48693.738</v>
      </c>
    </row>
    <row r="67" spans="3:11" ht="12.75" hidden="1">
      <c r="C67" s="12">
        <f>A39+A42</f>
        <v>8773.24</v>
      </c>
      <c r="G67" t="s">
        <v>111</v>
      </c>
      <c r="H67" s="15" t="s">
        <v>65</v>
      </c>
      <c r="K67" s="12">
        <v>0</v>
      </c>
    </row>
    <row r="68" spans="3:14" ht="12.75">
      <c r="C68" s="12"/>
      <c r="F68" s="17">
        <v>6698</v>
      </c>
      <c r="G68" t="s">
        <v>111</v>
      </c>
      <c r="H68" s="11"/>
      <c r="K68" s="12"/>
      <c r="N68" s="17"/>
    </row>
    <row r="69" spans="3:14" ht="12.75">
      <c r="C69" s="12" t="e">
        <f>C52+C55+C56+C57+C58+C59+C60+C61+C62+C63+C64+C65+C66+C67</f>
        <v>#REF!</v>
      </c>
      <c r="F69" s="18">
        <v>2927</v>
      </c>
      <c r="G69" t="s">
        <v>144</v>
      </c>
      <c r="H69" s="11" t="s">
        <v>40</v>
      </c>
      <c r="K69" s="12">
        <f>K52+K55+K56+K57+K58+K59+K60+K61+K62+K63+K64+K65+K66</f>
        <v>932243.3070000001</v>
      </c>
      <c r="N69" s="18"/>
    </row>
    <row r="70" spans="3:14" ht="12.75">
      <c r="C70" s="12"/>
      <c r="F70" s="18">
        <v>8207</v>
      </c>
      <c r="G70" t="s">
        <v>95</v>
      </c>
      <c r="H70" s="11"/>
      <c r="K70" s="12"/>
      <c r="N70" s="18"/>
    </row>
    <row r="71" spans="3:14" ht="12.75">
      <c r="C71" s="12" t="e">
        <f>B48-C69</f>
        <v>#REF!</v>
      </c>
      <c r="F71" s="18">
        <v>1537</v>
      </c>
      <c r="G71" t="s">
        <v>145</v>
      </c>
      <c r="H71" t="s">
        <v>69</v>
      </c>
      <c r="K71" s="12">
        <f>J48-K69</f>
        <v>67600.01299999992</v>
      </c>
      <c r="N71" s="18"/>
    </row>
    <row r="72" spans="6:14" ht="12.75">
      <c r="F72" s="18">
        <v>1459.71</v>
      </c>
      <c r="G72" t="s">
        <v>146</v>
      </c>
      <c r="N72" s="18"/>
    </row>
    <row r="73" spans="6:14" ht="12.75">
      <c r="F73" s="18">
        <v>9962.24</v>
      </c>
      <c r="G73" t="s">
        <v>149</v>
      </c>
      <c r="K73" s="12"/>
      <c r="N73" s="18"/>
    </row>
    <row r="74" spans="6:14" ht="12.75">
      <c r="F74" s="18">
        <v>515.03</v>
      </c>
      <c r="G74" t="s">
        <v>150</v>
      </c>
      <c r="N74" s="18"/>
    </row>
    <row r="75" spans="1:14" ht="12.75">
      <c r="A75" t="s">
        <v>132</v>
      </c>
      <c r="F75" s="18">
        <v>2221.6</v>
      </c>
      <c r="G75" t="s">
        <v>151</v>
      </c>
      <c r="N75" s="18"/>
    </row>
    <row r="76" spans="1:14" ht="12.75">
      <c r="A76" t="s">
        <v>94</v>
      </c>
      <c r="F76" s="18">
        <v>36709</v>
      </c>
      <c r="G76" t="s">
        <v>158</v>
      </c>
      <c r="N76" s="18"/>
    </row>
    <row r="77" spans="1:7" ht="12.75">
      <c r="A77" t="s">
        <v>133</v>
      </c>
      <c r="F77">
        <v>7620.91</v>
      </c>
      <c r="G77" t="s">
        <v>130</v>
      </c>
    </row>
    <row r="78" ht="12.75">
      <c r="A78" t="s">
        <v>99</v>
      </c>
    </row>
    <row r="79" ht="12.75">
      <c r="A79" t="s">
        <v>134</v>
      </c>
    </row>
    <row r="80" ht="12.75">
      <c r="A80" t="s">
        <v>135</v>
      </c>
    </row>
    <row r="81" ht="12.75">
      <c r="A81" t="s">
        <v>136</v>
      </c>
    </row>
    <row r="82" ht="12.75">
      <c r="A82" t="s">
        <v>85</v>
      </c>
    </row>
    <row r="83" ht="12.75">
      <c r="A83" t="s">
        <v>96</v>
      </c>
    </row>
    <row r="84" spans="1:2" ht="12.75">
      <c r="A84" t="s">
        <v>126</v>
      </c>
      <c r="B84" s="18"/>
    </row>
    <row r="85" ht="12.75">
      <c r="A85" t="s">
        <v>144</v>
      </c>
    </row>
    <row r="86" ht="12.75">
      <c r="A86" t="s">
        <v>93</v>
      </c>
    </row>
    <row r="87" ht="12.75">
      <c r="A87" t="s">
        <v>97</v>
      </c>
    </row>
    <row r="88" ht="12.75">
      <c r="A88" t="s">
        <v>102</v>
      </c>
    </row>
    <row r="89" ht="12.75">
      <c r="A89" t="s">
        <v>99</v>
      </c>
    </row>
    <row r="90" ht="12.75">
      <c r="A90" t="s">
        <v>96</v>
      </c>
    </row>
    <row r="91" ht="12.75">
      <c r="A91" t="s">
        <v>91</v>
      </c>
    </row>
    <row r="92" ht="12.75">
      <c r="A92" t="s">
        <v>113</v>
      </c>
    </row>
    <row r="93" ht="12.75">
      <c r="A93" t="s">
        <v>118</v>
      </c>
    </row>
    <row r="94" ht="12.75">
      <c r="A94" t="s">
        <v>119</v>
      </c>
    </row>
    <row r="95" ht="12.75">
      <c r="A95" t="s">
        <v>126</v>
      </c>
    </row>
    <row r="96" ht="12.75">
      <c r="A96" t="s">
        <v>144</v>
      </c>
    </row>
    <row r="97" ht="12.75">
      <c r="A97" t="s">
        <v>95</v>
      </c>
    </row>
    <row r="98" ht="12.75">
      <c r="A98" t="s">
        <v>145</v>
      </c>
    </row>
    <row r="99" ht="12.75">
      <c r="A99" t="s">
        <v>146</v>
      </c>
    </row>
    <row r="100" ht="12.75">
      <c r="A100" t="s">
        <v>149</v>
      </c>
    </row>
    <row r="101" ht="12.75">
      <c r="A101" t="s">
        <v>155</v>
      </c>
    </row>
    <row r="102" ht="12.75">
      <c r="A102" t="s">
        <v>151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3:G99"/>
  <sheetViews>
    <sheetView zoomScalePageLayoutView="0" workbookViewId="0" topLeftCell="A4">
      <selection activeCell="A60" sqref="A60:IV61"/>
    </sheetView>
  </sheetViews>
  <sheetFormatPr defaultColWidth="9.140625" defaultRowHeight="12.75"/>
  <cols>
    <col min="1" max="1" width="16.57421875" style="0" customWidth="1"/>
    <col min="2" max="2" width="17.28125" style="0" customWidth="1"/>
    <col min="3" max="3" width="16.57421875" style="0" customWidth="1"/>
    <col min="4" max="4" width="17.00390625" style="0" customWidth="1"/>
  </cols>
  <sheetData>
    <row r="3" spans="1:7" ht="12.75">
      <c r="A3" s="1" t="s">
        <v>0</v>
      </c>
      <c r="B3" s="2" t="s">
        <v>1</v>
      </c>
      <c r="C3" s="1" t="s">
        <v>45</v>
      </c>
      <c r="D3" s="1"/>
      <c r="E3" s="1" t="s">
        <v>2</v>
      </c>
      <c r="F3" s="3">
        <v>13</v>
      </c>
      <c r="G3">
        <v>2015</v>
      </c>
    </row>
    <row r="5" spans="1:5" ht="12.75">
      <c r="A5" t="s">
        <v>3</v>
      </c>
      <c r="D5" s="4">
        <v>4115.8</v>
      </c>
      <c r="E5" s="5" t="s">
        <v>41</v>
      </c>
    </row>
    <row r="6" spans="1:5" ht="12.75">
      <c r="A6" t="s">
        <v>4</v>
      </c>
      <c r="D6" s="4">
        <v>92</v>
      </c>
      <c r="E6" s="5"/>
    </row>
    <row r="7" spans="1:5" ht="12.75">
      <c r="A7" t="s">
        <v>5</v>
      </c>
      <c r="D7" s="4">
        <v>208</v>
      </c>
      <c r="E7" s="5" t="s">
        <v>6</v>
      </c>
    </row>
    <row r="8" spans="1:5" ht="12.75">
      <c r="A8" t="s">
        <v>7</v>
      </c>
      <c r="D8" s="4">
        <v>449</v>
      </c>
      <c r="E8" s="5" t="s">
        <v>41</v>
      </c>
    </row>
    <row r="9" spans="1:5" ht="12.75">
      <c r="A9" t="s">
        <v>8</v>
      </c>
      <c r="D9" s="4">
        <v>7746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938844.4499999998</v>
      </c>
      <c r="C13" s="8">
        <f>SUM(C14:C25)</f>
        <v>993731.22</v>
      </c>
      <c r="D13" s="8">
        <f>SUM(D14:D25)</f>
        <v>-54886.77000000002</v>
      </c>
    </row>
    <row r="14" spans="1:4" ht="12.75" hidden="1">
      <c r="A14" s="9" t="s">
        <v>25</v>
      </c>
      <c r="B14" s="8">
        <v>75114.15</v>
      </c>
      <c r="C14" s="8">
        <v>32399.03</v>
      </c>
      <c r="D14" s="8">
        <f aca="true" t="shared" si="0" ref="D14:D25">B14-C14</f>
        <v>42715.119999999995</v>
      </c>
    </row>
    <row r="15" spans="1:4" ht="12.75" hidden="1">
      <c r="A15" s="9" t="s">
        <v>13</v>
      </c>
      <c r="B15" s="8">
        <v>75114.15</v>
      </c>
      <c r="C15" s="13">
        <v>97647.19</v>
      </c>
      <c r="D15" s="8">
        <f t="shared" si="0"/>
        <v>-22533.040000000008</v>
      </c>
    </row>
    <row r="16" spans="1:4" ht="12.75" hidden="1">
      <c r="A16" s="9" t="s">
        <v>14</v>
      </c>
      <c r="B16" s="8">
        <v>75114.15</v>
      </c>
      <c r="C16" s="13">
        <v>167926.08</v>
      </c>
      <c r="D16" s="8">
        <f t="shared" si="0"/>
        <v>-92811.93</v>
      </c>
    </row>
    <row r="17" spans="1:4" ht="12.75" hidden="1">
      <c r="A17" s="9" t="s">
        <v>15</v>
      </c>
      <c r="B17" s="8">
        <v>75114.15</v>
      </c>
      <c r="C17" s="13">
        <v>65364.34</v>
      </c>
      <c r="D17" s="8">
        <f t="shared" si="0"/>
        <v>9749.809999999998</v>
      </c>
    </row>
    <row r="18" spans="1:4" ht="12.75" hidden="1">
      <c r="A18" s="9" t="s">
        <v>16</v>
      </c>
      <c r="B18" s="8">
        <v>75114.15</v>
      </c>
      <c r="C18" s="13">
        <v>72362.75</v>
      </c>
      <c r="D18" s="8">
        <f t="shared" si="0"/>
        <v>2751.399999999994</v>
      </c>
    </row>
    <row r="19" spans="1:4" ht="12.75" hidden="1">
      <c r="A19" s="9" t="s">
        <v>17</v>
      </c>
      <c r="B19" s="8">
        <v>75114.15</v>
      </c>
      <c r="C19" s="13">
        <v>73521.48</v>
      </c>
      <c r="D19" s="8">
        <f t="shared" si="0"/>
        <v>1592.6699999999983</v>
      </c>
    </row>
    <row r="20" spans="1:4" ht="12.75" hidden="1">
      <c r="A20" s="9" t="s">
        <v>18</v>
      </c>
      <c r="B20" s="8">
        <v>75114.15</v>
      </c>
      <c r="C20" s="13">
        <v>77485.83</v>
      </c>
      <c r="D20" s="8">
        <f t="shared" si="0"/>
        <v>-2371.6800000000076</v>
      </c>
    </row>
    <row r="21" spans="1:4" ht="12.75" hidden="1">
      <c r="A21" s="9" t="s">
        <v>19</v>
      </c>
      <c r="B21" s="13">
        <v>82609.08</v>
      </c>
      <c r="C21" s="13">
        <v>78668.31</v>
      </c>
      <c r="D21" s="8">
        <f t="shared" si="0"/>
        <v>3940.770000000004</v>
      </c>
    </row>
    <row r="22" spans="1:4" ht="12.75" hidden="1">
      <c r="A22" s="9" t="s">
        <v>20</v>
      </c>
      <c r="B22" s="13">
        <v>82609.08</v>
      </c>
      <c r="C22" s="13">
        <v>84782.13</v>
      </c>
      <c r="D22" s="8">
        <f t="shared" si="0"/>
        <v>-2173.050000000003</v>
      </c>
    </row>
    <row r="23" spans="1:4" ht="12.75" hidden="1">
      <c r="A23" s="9" t="s">
        <v>21</v>
      </c>
      <c r="B23" s="13">
        <v>82609.08</v>
      </c>
      <c r="C23" s="13">
        <v>83731.15</v>
      </c>
      <c r="D23" s="13">
        <f t="shared" si="0"/>
        <v>-1122.0699999999924</v>
      </c>
    </row>
    <row r="24" spans="1:4" ht="12.75" hidden="1">
      <c r="A24" s="9" t="s">
        <v>22</v>
      </c>
      <c r="B24" s="13">
        <v>82609.08</v>
      </c>
      <c r="C24" s="13">
        <v>79234.21</v>
      </c>
      <c r="D24" s="13">
        <f t="shared" si="0"/>
        <v>3374.8699999999953</v>
      </c>
    </row>
    <row r="25" spans="1:4" ht="12.75" hidden="1">
      <c r="A25" s="9" t="s">
        <v>23</v>
      </c>
      <c r="B25" s="13">
        <v>82609.08</v>
      </c>
      <c r="C25" s="13">
        <v>80608.72</v>
      </c>
      <c r="D25" s="13">
        <f t="shared" si="0"/>
        <v>2000.3600000000006</v>
      </c>
    </row>
    <row r="26" spans="1:4" ht="12.75">
      <c r="A26" s="7" t="s">
        <v>24</v>
      </c>
      <c r="B26" s="8">
        <f>SUM(B27:B38)</f>
        <v>330.4599999999999</v>
      </c>
      <c r="C26" s="8">
        <f>SUM(C27:C38)</f>
        <v>359.34</v>
      </c>
      <c r="D26" s="8">
        <f>SUM(D27:D38)</f>
        <v>-28.879999999999974</v>
      </c>
    </row>
    <row r="27" spans="1:4" ht="12.75" hidden="1">
      <c r="A27" s="9" t="s">
        <v>25</v>
      </c>
      <c r="B27" s="8">
        <v>33.11</v>
      </c>
      <c r="C27" s="8">
        <v>10.77</v>
      </c>
      <c r="D27" s="8">
        <f aca="true" t="shared" si="1" ref="D27:D38">B27-C27</f>
        <v>22.34</v>
      </c>
    </row>
    <row r="28" spans="1:4" ht="12.75" hidden="1">
      <c r="A28" s="9" t="s">
        <v>13</v>
      </c>
      <c r="B28" s="8">
        <v>33.11</v>
      </c>
      <c r="C28" s="13">
        <v>36.94</v>
      </c>
      <c r="D28" s="8">
        <f t="shared" si="1"/>
        <v>-3.8299999999999983</v>
      </c>
    </row>
    <row r="29" spans="1:4" ht="12.75" hidden="1">
      <c r="A29" s="9" t="s">
        <v>14</v>
      </c>
      <c r="B29" s="8">
        <v>33.11</v>
      </c>
      <c r="C29" s="13">
        <v>28.31</v>
      </c>
      <c r="D29" s="8">
        <f t="shared" si="1"/>
        <v>4.800000000000001</v>
      </c>
    </row>
    <row r="30" spans="1:4" ht="12.75" hidden="1">
      <c r="A30" s="9" t="s">
        <v>15</v>
      </c>
      <c r="B30" s="8">
        <v>29.73</v>
      </c>
      <c r="C30" s="13">
        <v>74.49</v>
      </c>
      <c r="D30" s="8">
        <f t="shared" si="1"/>
        <v>-44.75999999999999</v>
      </c>
    </row>
    <row r="31" spans="1:4" ht="12.75" hidden="1">
      <c r="A31" s="9" t="s">
        <v>16</v>
      </c>
      <c r="B31" s="8">
        <v>29.73</v>
      </c>
      <c r="C31" s="13">
        <v>39.9</v>
      </c>
      <c r="D31" s="8">
        <f t="shared" si="1"/>
        <v>-10.169999999999998</v>
      </c>
    </row>
    <row r="32" spans="1:4" ht="12.75" hidden="1">
      <c r="A32" s="9" t="s">
        <v>17</v>
      </c>
      <c r="B32" s="13">
        <v>25.51</v>
      </c>
      <c r="C32" s="13">
        <v>29.25</v>
      </c>
      <c r="D32" s="8">
        <f t="shared" si="1"/>
        <v>-3.7399999999999984</v>
      </c>
    </row>
    <row r="33" spans="1:4" ht="12.75" hidden="1">
      <c r="A33" s="9" t="s">
        <v>18</v>
      </c>
      <c r="B33" s="13">
        <v>25.51</v>
      </c>
      <c r="C33" s="13">
        <v>29</v>
      </c>
      <c r="D33" s="8">
        <f t="shared" si="1"/>
        <v>-3.4899999999999984</v>
      </c>
    </row>
    <row r="34" spans="1:4" ht="12.75" hidden="1">
      <c r="A34" s="9" t="s">
        <v>19</v>
      </c>
      <c r="B34" s="13">
        <v>25.51</v>
      </c>
      <c r="C34" s="13">
        <v>27.82</v>
      </c>
      <c r="D34" s="8">
        <f t="shared" si="1"/>
        <v>-2.3099999999999987</v>
      </c>
    </row>
    <row r="35" spans="1:4" ht="12.75" hidden="1">
      <c r="A35" s="9" t="s">
        <v>20</v>
      </c>
      <c r="B35" s="13">
        <v>25.51</v>
      </c>
      <c r="C35" s="13">
        <v>18.77</v>
      </c>
      <c r="D35" s="8">
        <f t="shared" si="1"/>
        <v>6.740000000000002</v>
      </c>
    </row>
    <row r="36" spans="1:4" ht="12.75" hidden="1">
      <c r="A36" s="9" t="s">
        <v>21</v>
      </c>
      <c r="B36" s="13">
        <v>23.21</v>
      </c>
      <c r="C36" s="13">
        <v>27.08</v>
      </c>
      <c r="D36" s="13">
        <f t="shared" si="1"/>
        <v>-3.8699999999999974</v>
      </c>
    </row>
    <row r="37" spans="1:4" ht="12.75" hidden="1">
      <c r="A37" s="9" t="s">
        <v>22</v>
      </c>
      <c r="B37" s="13">
        <v>23.21</v>
      </c>
      <c r="C37" s="13">
        <v>21.25</v>
      </c>
      <c r="D37" s="13">
        <f t="shared" si="1"/>
        <v>1.9600000000000009</v>
      </c>
    </row>
    <row r="38" spans="1:4" ht="12.75" hidden="1">
      <c r="A38" s="9" t="s">
        <v>23</v>
      </c>
      <c r="B38" s="13">
        <v>23.21</v>
      </c>
      <c r="C38" s="13">
        <v>15.76</v>
      </c>
      <c r="D38" s="13">
        <f t="shared" si="1"/>
        <v>7.450000000000001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147</v>
      </c>
      <c r="B42" s="8">
        <f>SUM(B43:B54)</f>
        <v>0</v>
      </c>
      <c r="C42" s="8">
        <f>SUM(C43:C54)</f>
        <v>0</v>
      </c>
      <c r="D42" s="8">
        <f>SUM(D43:D54)</f>
        <v>0</v>
      </c>
    </row>
    <row r="43" spans="1:4" ht="12.75" hidden="1">
      <c r="A43" s="9" t="s">
        <v>25</v>
      </c>
      <c r="B43" s="8"/>
      <c r="C43" s="8"/>
      <c r="D43" s="8">
        <f aca="true" t="shared" si="2" ref="D43:D49">B43-C43</f>
        <v>0</v>
      </c>
    </row>
    <row r="44" spans="1:4" ht="12.75" hidden="1">
      <c r="A44" s="9" t="s">
        <v>13</v>
      </c>
      <c r="B44" s="13"/>
      <c r="C44" s="13"/>
      <c r="D44" s="8">
        <f t="shared" si="2"/>
        <v>0</v>
      </c>
    </row>
    <row r="45" spans="1:4" ht="12.75" hidden="1">
      <c r="A45" s="9" t="s">
        <v>14</v>
      </c>
      <c r="B45" s="13"/>
      <c r="C45" s="13"/>
      <c r="D45" s="8">
        <f t="shared" si="2"/>
        <v>0</v>
      </c>
    </row>
    <row r="46" spans="1:4" ht="12.75" hidden="1">
      <c r="A46" s="9" t="s">
        <v>15</v>
      </c>
      <c r="B46" s="13"/>
      <c r="C46" s="13"/>
      <c r="D46" s="8">
        <f t="shared" si="2"/>
        <v>0</v>
      </c>
    </row>
    <row r="47" spans="1:4" ht="12.75" hidden="1">
      <c r="A47" s="9" t="s">
        <v>16</v>
      </c>
      <c r="B47" s="13"/>
      <c r="C47" s="13"/>
      <c r="D47" s="8">
        <f t="shared" si="2"/>
        <v>0</v>
      </c>
    </row>
    <row r="48" spans="1:4" ht="12.75" hidden="1">
      <c r="A48" s="9" t="s">
        <v>17</v>
      </c>
      <c r="B48" s="13"/>
      <c r="C48" s="13"/>
      <c r="D48" s="8">
        <f t="shared" si="2"/>
        <v>0</v>
      </c>
    </row>
    <row r="49" spans="1:4" ht="12.75" hidden="1">
      <c r="A49" s="9" t="s">
        <v>18</v>
      </c>
      <c r="B49" s="13"/>
      <c r="C49" s="13"/>
      <c r="D49" s="8">
        <f t="shared" si="2"/>
        <v>0</v>
      </c>
    </row>
    <row r="50" spans="1:4" ht="12.75" hidden="1">
      <c r="A50" s="9" t="s">
        <v>19</v>
      </c>
      <c r="B50" s="8"/>
      <c r="C50" s="8"/>
      <c r="D50" s="8">
        <f>B50-C50</f>
        <v>0</v>
      </c>
    </row>
    <row r="51" spans="1:4" ht="12.75" hidden="1">
      <c r="A51" s="9" t="s">
        <v>20</v>
      </c>
      <c r="B51" s="13"/>
      <c r="C51" s="13"/>
      <c r="D51" s="8">
        <f>B51-C51</f>
        <v>0</v>
      </c>
    </row>
    <row r="52" spans="1:4" ht="12.75" hidden="1">
      <c r="A52" s="9" t="s">
        <v>21</v>
      </c>
      <c r="B52" s="13"/>
      <c r="C52" s="13"/>
      <c r="D52" s="13">
        <f>B52-C52</f>
        <v>0</v>
      </c>
    </row>
    <row r="53" spans="1:4" ht="12.75" hidden="1">
      <c r="A53" s="9" t="s">
        <v>22</v>
      </c>
      <c r="B53" s="13"/>
      <c r="C53" s="13"/>
      <c r="D53" s="13">
        <f>B53-C53</f>
        <v>0</v>
      </c>
    </row>
    <row r="54" spans="1:4" ht="12.75" hidden="1">
      <c r="A54" s="9" t="s">
        <v>23</v>
      </c>
      <c r="B54" s="13"/>
      <c r="C54" s="13"/>
      <c r="D54" s="13">
        <f>B54-C54</f>
        <v>0</v>
      </c>
    </row>
    <row r="55" spans="1:4" ht="12.75">
      <c r="A55" s="9" t="s">
        <v>26</v>
      </c>
      <c r="B55" s="8">
        <f>B13+B26</f>
        <v>939174.9099999998</v>
      </c>
      <c r="C55" s="8">
        <f>C13+C26</f>
        <v>994090.5599999999</v>
      </c>
      <c r="D55" s="8">
        <f>D13+D26</f>
        <v>-54915.650000000016</v>
      </c>
    </row>
    <row r="57" spans="1:4" ht="12.75">
      <c r="A57" t="s">
        <v>27</v>
      </c>
      <c r="D57" s="12">
        <f>D55</f>
        <v>-54915.650000000016</v>
      </c>
    </row>
    <row r="59" spans="1:4" ht="12.75">
      <c r="A59" s="11" t="s">
        <v>28</v>
      </c>
      <c r="D59" s="12">
        <f>D60+D61</f>
        <v>82027.894</v>
      </c>
    </row>
    <row r="60" spans="1:4" ht="12.75" hidden="1">
      <c r="A60" s="11" t="s">
        <v>29</v>
      </c>
      <c r="D60" s="12">
        <f>(2.75*2*D5)+(1.1*5*D5)+(1.21*5*D5)</f>
        <v>70174.39</v>
      </c>
    </row>
    <row r="61" spans="1:4" ht="12.75" hidden="1">
      <c r="A61" s="11" t="s">
        <v>30</v>
      </c>
      <c r="D61" s="12">
        <f>(0.24*12*D5)</f>
        <v>11853.504</v>
      </c>
    </row>
    <row r="62" spans="1:4" ht="12.75">
      <c r="A62" s="11" t="s">
        <v>31</v>
      </c>
      <c r="D62" s="12">
        <f>(0.66*2*D5)</f>
        <v>5432.856000000001</v>
      </c>
    </row>
    <row r="63" spans="1:4" ht="12.75">
      <c r="A63" s="11" t="s">
        <v>81</v>
      </c>
      <c r="D63" s="12">
        <f>(0.5*2*D5)+(0.55*5*D5)</f>
        <v>15434.25</v>
      </c>
    </row>
    <row r="64" spans="1:4" ht="12.75">
      <c r="A64" s="11" t="s">
        <v>90</v>
      </c>
      <c r="D64" s="12">
        <f>(2.2*7*D5)+(2.42*5*D5)</f>
        <v>113184.50000000001</v>
      </c>
    </row>
    <row r="65" spans="1:4" ht="12.75" hidden="1">
      <c r="A65" s="11" t="s">
        <v>33</v>
      </c>
      <c r="D65" s="12">
        <v>0</v>
      </c>
    </row>
    <row r="66" spans="1:4" ht="12.75">
      <c r="A66" s="11" t="s">
        <v>80</v>
      </c>
      <c r="D66" s="12">
        <f>(0.72*3*D5)</f>
        <v>8890.128</v>
      </c>
    </row>
    <row r="67" spans="1:4" ht="12.75">
      <c r="A67" s="11" t="s">
        <v>34</v>
      </c>
      <c r="D67" s="12">
        <f>(3.3*2*D5)+(1.2*5*D5)+(1.32*5*D5)</f>
        <v>79023.36</v>
      </c>
    </row>
    <row r="68" spans="1:4" ht="12.75">
      <c r="A68" s="11" t="s">
        <v>35</v>
      </c>
      <c r="D68" s="12">
        <f>(2.2*2*D5)+(4.1*5*D5)+(4.51*5*D5)</f>
        <v>195294.71000000002</v>
      </c>
    </row>
    <row r="69" spans="1:4" ht="12.75">
      <c r="A69" s="11" t="s">
        <v>36</v>
      </c>
      <c r="D69" s="12">
        <f>(0.24*7*D5)+(0.26*5*D5)</f>
        <v>12265.084</v>
      </c>
    </row>
    <row r="70" spans="1:4" ht="12.75">
      <c r="A70" s="11" t="s">
        <v>82</v>
      </c>
      <c r="D70" s="12">
        <f>(0.77*2*D5)+(3.2*5*D5)+(3.52*5*D5)</f>
        <v>144629.212</v>
      </c>
    </row>
    <row r="71" spans="1:4" ht="12.75">
      <c r="A71" s="11" t="s">
        <v>37</v>
      </c>
      <c r="D71" s="12">
        <f>2.25*12*D6</f>
        <v>2484</v>
      </c>
    </row>
    <row r="72" spans="1:4" ht="12.75">
      <c r="A72" s="11" t="s">
        <v>38</v>
      </c>
      <c r="D72" s="12">
        <v>44864</v>
      </c>
    </row>
    <row r="73" spans="1:4" ht="12.75">
      <c r="A73" s="11" t="s">
        <v>39</v>
      </c>
      <c r="D73" s="12">
        <f>(1.76*2*D5)+(0.75*5*D5)+(0.83*5*D5)</f>
        <v>47002.436</v>
      </c>
    </row>
    <row r="74" spans="1:4" ht="12.75" hidden="1">
      <c r="A74" s="15" t="s">
        <v>65</v>
      </c>
      <c r="D74" s="12">
        <v>0</v>
      </c>
    </row>
    <row r="75" spans="1:4" ht="12.75">
      <c r="A75" s="11"/>
      <c r="D75" s="12"/>
    </row>
    <row r="76" spans="1:7" ht="12.75">
      <c r="A76" s="11" t="s">
        <v>40</v>
      </c>
      <c r="D76" s="12">
        <f>D59+D62+D63+D64+D65+D66+D67+D68+D69+D70+D71+D72+D73</f>
        <v>750532.4299999999</v>
      </c>
      <c r="G76" s="18"/>
    </row>
    <row r="77" spans="1:7" ht="12.75">
      <c r="A77" s="11"/>
      <c r="D77" s="12"/>
      <c r="G77" s="18"/>
    </row>
    <row r="78" spans="1:7" ht="12.75">
      <c r="A78" t="s">
        <v>68</v>
      </c>
      <c r="D78" s="12">
        <f>C55-D76</f>
        <v>243558.13</v>
      </c>
      <c r="G78" s="18"/>
    </row>
    <row r="79" ht="12.75">
      <c r="G79" s="18"/>
    </row>
    <row r="80" spans="4:7" ht="12.75">
      <c r="D80" s="12"/>
      <c r="G80" s="18"/>
    </row>
    <row r="81" spans="3:7" ht="12.75">
      <c r="C81" s="18"/>
      <c r="G81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</sheetData>
  <sheetProtection/>
  <printOptions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9"/>
  <dimension ref="A3:G77"/>
  <sheetViews>
    <sheetView zoomScalePageLayoutView="0" workbookViewId="0" topLeftCell="A10">
      <selection activeCell="F73" sqref="F73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3" width="13.421875" style="0" customWidth="1"/>
    <col min="4" max="4" width="15.421875" style="0" customWidth="1"/>
  </cols>
  <sheetData>
    <row r="3" spans="1:7" ht="12.75">
      <c r="A3" s="1" t="s">
        <v>0</v>
      </c>
      <c r="B3" s="2" t="s">
        <v>1</v>
      </c>
      <c r="C3" s="1" t="s">
        <v>59</v>
      </c>
      <c r="D3" s="1"/>
      <c r="E3" s="1" t="s">
        <v>2</v>
      </c>
      <c r="F3" s="3">
        <v>14</v>
      </c>
      <c r="G3">
        <v>2015</v>
      </c>
    </row>
    <row r="5" spans="1:5" ht="12.75">
      <c r="A5" t="s">
        <v>3</v>
      </c>
      <c r="D5" s="4">
        <v>3178.8</v>
      </c>
      <c r="E5" s="5" t="s">
        <v>41</v>
      </c>
    </row>
    <row r="6" spans="1:5" ht="12.75">
      <c r="A6" t="s">
        <v>4</v>
      </c>
      <c r="D6" s="4">
        <v>60</v>
      </c>
      <c r="E6" s="5"/>
    </row>
    <row r="7" spans="1:5" ht="12.75">
      <c r="A7" t="s">
        <v>5</v>
      </c>
      <c r="D7" s="4">
        <v>133</v>
      </c>
      <c r="E7" s="5" t="s">
        <v>6</v>
      </c>
    </row>
    <row r="8" spans="1:5" ht="12.75">
      <c r="A8" t="s">
        <v>7</v>
      </c>
      <c r="D8" s="4">
        <v>411.9</v>
      </c>
      <c r="E8" s="5" t="s">
        <v>41</v>
      </c>
    </row>
    <row r="9" spans="1:5" ht="12.75">
      <c r="A9" t="s">
        <v>8</v>
      </c>
      <c r="D9" s="4">
        <v>3386</v>
      </c>
      <c r="E9" s="5" t="s">
        <v>41</v>
      </c>
    </row>
    <row r="12" spans="2:4" ht="13.5" customHeight="1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724702.7600000001</v>
      </c>
      <c r="C13" s="8">
        <f>SUM(C14:C25)</f>
        <v>748523.13</v>
      </c>
      <c r="D13" s="8">
        <f>SUM(D14:D25)</f>
        <v>-23820.370000000003</v>
      </c>
    </row>
    <row r="14" spans="1:4" ht="12.75" hidden="1">
      <c r="A14" s="9" t="s">
        <v>25</v>
      </c>
      <c r="B14" s="8">
        <v>57981.28</v>
      </c>
      <c r="C14" s="8">
        <v>51311.51</v>
      </c>
      <c r="D14" s="8">
        <f aca="true" t="shared" si="0" ref="D14:D25">B14-C14</f>
        <v>6669.769999999997</v>
      </c>
    </row>
    <row r="15" spans="1:4" ht="12.75" hidden="1">
      <c r="A15" s="9" t="s">
        <v>13</v>
      </c>
      <c r="B15" s="8">
        <v>57981.28</v>
      </c>
      <c r="C15" s="13">
        <v>48919.56</v>
      </c>
      <c r="D15" s="8">
        <f t="shared" si="0"/>
        <v>9061.720000000001</v>
      </c>
    </row>
    <row r="16" spans="1:4" ht="12.75" hidden="1">
      <c r="A16" s="9" t="s">
        <v>14</v>
      </c>
      <c r="B16" s="8">
        <v>57981.28</v>
      </c>
      <c r="C16" s="13">
        <v>70484.97</v>
      </c>
      <c r="D16" s="8">
        <f t="shared" si="0"/>
        <v>-12503.690000000002</v>
      </c>
    </row>
    <row r="17" spans="1:4" ht="12.75" hidden="1">
      <c r="A17" s="9" t="s">
        <v>15</v>
      </c>
      <c r="B17" s="8">
        <v>57981.28</v>
      </c>
      <c r="C17" s="13">
        <v>64677.01</v>
      </c>
      <c r="D17" s="8">
        <f t="shared" si="0"/>
        <v>-6695.730000000003</v>
      </c>
    </row>
    <row r="18" spans="1:4" ht="12.75" hidden="1">
      <c r="A18" s="9" t="s">
        <v>16</v>
      </c>
      <c r="B18" s="8">
        <v>57981.28</v>
      </c>
      <c r="C18" s="13">
        <v>47573.61</v>
      </c>
      <c r="D18" s="8">
        <f t="shared" si="0"/>
        <v>10407.669999999998</v>
      </c>
    </row>
    <row r="19" spans="1:4" ht="12.75" hidden="1">
      <c r="A19" s="9" t="s">
        <v>17</v>
      </c>
      <c r="B19" s="8">
        <v>57981.28</v>
      </c>
      <c r="C19" s="13">
        <v>89324.61</v>
      </c>
      <c r="D19" s="8">
        <f t="shared" si="0"/>
        <v>-31343.33</v>
      </c>
    </row>
    <row r="20" spans="1:4" ht="12.75" hidden="1">
      <c r="A20" s="9" t="s">
        <v>18</v>
      </c>
      <c r="B20" s="8">
        <v>57981.28</v>
      </c>
      <c r="C20" s="13">
        <v>63621.67</v>
      </c>
      <c r="D20" s="8">
        <f t="shared" si="0"/>
        <v>-5640.389999999999</v>
      </c>
    </row>
    <row r="21" spans="1:4" ht="12.75" hidden="1">
      <c r="A21" s="9" t="s">
        <v>19</v>
      </c>
      <c r="B21" s="13">
        <v>63766.76</v>
      </c>
      <c r="C21" s="13">
        <v>61358.64</v>
      </c>
      <c r="D21" s="8">
        <f t="shared" si="0"/>
        <v>2408.1200000000026</v>
      </c>
    </row>
    <row r="22" spans="1:4" ht="12.75" hidden="1">
      <c r="A22" s="9" t="s">
        <v>20</v>
      </c>
      <c r="B22" s="13">
        <v>63766.76</v>
      </c>
      <c r="C22" s="13">
        <v>64231.96</v>
      </c>
      <c r="D22" s="8">
        <f t="shared" si="0"/>
        <v>-465.1999999999971</v>
      </c>
    </row>
    <row r="23" spans="1:4" ht="12.75" hidden="1">
      <c r="A23" s="9" t="s">
        <v>21</v>
      </c>
      <c r="B23" s="13">
        <v>63766.76</v>
      </c>
      <c r="C23" s="13">
        <v>66419.58</v>
      </c>
      <c r="D23" s="13">
        <f t="shared" si="0"/>
        <v>-2652.8199999999997</v>
      </c>
    </row>
    <row r="24" spans="1:4" ht="12.75" hidden="1">
      <c r="A24" s="9" t="s">
        <v>22</v>
      </c>
      <c r="B24" s="13">
        <v>63766.76</v>
      </c>
      <c r="C24" s="13">
        <v>63135.5</v>
      </c>
      <c r="D24" s="13">
        <f t="shared" si="0"/>
        <v>631.260000000002</v>
      </c>
    </row>
    <row r="25" spans="1:4" ht="12.75" hidden="1">
      <c r="A25" s="9" t="s">
        <v>23</v>
      </c>
      <c r="B25" s="13">
        <v>63766.76</v>
      </c>
      <c r="C25" s="13">
        <v>57464.51</v>
      </c>
      <c r="D25" s="13">
        <f t="shared" si="0"/>
        <v>6302.25</v>
      </c>
    </row>
    <row r="26" spans="1:4" ht="12.75">
      <c r="A26" s="7" t="s">
        <v>24</v>
      </c>
      <c r="B26" s="8">
        <f>SUM(B27:B38)</f>
        <v>230.75999999999996</v>
      </c>
      <c r="C26" s="8">
        <f>SUM(C27:C38)</f>
        <v>250.49</v>
      </c>
      <c r="D26" s="8">
        <f>SUM(D27:D38)</f>
        <v>-19.729999999999986</v>
      </c>
    </row>
    <row r="27" spans="1:4" ht="12.75" hidden="1">
      <c r="A27" s="9" t="s">
        <v>25</v>
      </c>
      <c r="B27" s="8">
        <v>19.23</v>
      </c>
      <c r="C27" s="8">
        <v>16.79</v>
      </c>
      <c r="D27" s="8">
        <f aca="true" t="shared" si="1" ref="D27:D38">B27-C27</f>
        <v>2.4400000000000013</v>
      </c>
    </row>
    <row r="28" spans="1:4" ht="12.75" hidden="1">
      <c r="A28" s="9" t="s">
        <v>13</v>
      </c>
      <c r="B28" s="8">
        <v>19.23</v>
      </c>
      <c r="C28" s="13">
        <v>16.79</v>
      </c>
      <c r="D28" s="8">
        <f t="shared" si="1"/>
        <v>2.4400000000000013</v>
      </c>
    </row>
    <row r="29" spans="1:4" ht="12.75" hidden="1">
      <c r="A29" s="9" t="s">
        <v>14</v>
      </c>
      <c r="B29" s="8">
        <v>19.23</v>
      </c>
      <c r="C29" s="13">
        <v>35.11</v>
      </c>
      <c r="D29" s="8">
        <f t="shared" si="1"/>
        <v>-15.879999999999999</v>
      </c>
    </row>
    <row r="30" spans="1:4" ht="12.75" hidden="1">
      <c r="A30" s="9" t="s">
        <v>15</v>
      </c>
      <c r="B30" s="8">
        <v>19.23</v>
      </c>
      <c r="C30" s="13">
        <v>21.2</v>
      </c>
      <c r="D30" s="8">
        <f t="shared" si="1"/>
        <v>-1.9699999999999989</v>
      </c>
    </row>
    <row r="31" spans="1:4" ht="12.75" hidden="1">
      <c r="A31" s="9" t="s">
        <v>16</v>
      </c>
      <c r="B31" s="8">
        <v>19.23</v>
      </c>
      <c r="C31" s="13">
        <v>12.33</v>
      </c>
      <c r="D31" s="8">
        <f t="shared" si="1"/>
        <v>6.9</v>
      </c>
    </row>
    <row r="32" spans="1:4" ht="12.75" hidden="1">
      <c r="A32" s="9" t="s">
        <v>17</v>
      </c>
      <c r="B32" s="8">
        <v>19.23</v>
      </c>
      <c r="C32" s="13">
        <v>33.01</v>
      </c>
      <c r="D32" s="8">
        <f t="shared" si="1"/>
        <v>-13.779999999999998</v>
      </c>
    </row>
    <row r="33" spans="1:4" ht="12.75" hidden="1">
      <c r="A33" s="9" t="s">
        <v>18</v>
      </c>
      <c r="B33" s="8">
        <v>19.23</v>
      </c>
      <c r="C33" s="13">
        <v>23.93</v>
      </c>
      <c r="D33" s="8">
        <f t="shared" si="1"/>
        <v>-4.699999999999999</v>
      </c>
    </row>
    <row r="34" spans="1:4" ht="12.75" hidden="1">
      <c r="A34" s="9" t="s">
        <v>19</v>
      </c>
      <c r="B34" s="8">
        <v>19.23</v>
      </c>
      <c r="C34" s="13">
        <v>12.33</v>
      </c>
      <c r="D34" s="8">
        <f t="shared" si="1"/>
        <v>6.9</v>
      </c>
    </row>
    <row r="35" spans="1:4" ht="12.75" hidden="1">
      <c r="A35" s="9" t="s">
        <v>20</v>
      </c>
      <c r="B35" s="8">
        <v>19.23</v>
      </c>
      <c r="C35" s="13">
        <v>19.52</v>
      </c>
      <c r="D35" s="8">
        <f t="shared" si="1"/>
        <v>-0.28999999999999915</v>
      </c>
    </row>
    <row r="36" spans="1:4" ht="12.75" hidden="1">
      <c r="A36" s="9" t="s">
        <v>21</v>
      </c>
      <c r="B36" s="8">
        <v>19.23</v>
      </c>
      <c r="C36" s="13">
        <v>20.88</v>
      </c>
      <c r="D36" s="13">
        <f t="shared" si="1"/>
        <v>-1.6499999999999986</v>
      </c>
    </row>
    <row r="37" spans="1:4" ht="12.75" hidden="1">
      <c r="A37" s="9" t="s">
        <v>22</v>
      </c>
      <c r="B37" s="8">
        <v>19.23</v>
      </c>
      <c r="C37" s="13">
        <v>19.36</v>
      </c>
      <c r="D37" s="13">
        <f t="shared" si="1"/>
        <v>-0.129999999999999</v>
      </c>
    </row>
    <row r="38" spans="1:4" ht="12.75" hidden="1">
      <c r="A38" s="9" t="s">
        <v>23</v>
      </c>
      <c r="B38" s="8">
        <v>19.23</v>
      </c>
      <c r="C38" s="13">
        <v>19.24</v>
      </c>
      <c r="D38" s="13">
        <f t="shared" si="1"/>
        <v>-0.00999999999999801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148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17</v>
      </c>
      <c r="B43" s="8"/>
      <c r="C43" s="8"/>
      <c r="D43" s="8">
        <f>B43-C43</f>
        <v>0</v>
      </c>
    </row>
    <row r="44" spans="1:4" ht="12.75" hidden="1">
      <c r="A44" s="9" t="s">
        <v>18</v>
      </c>
      <c r="B44" s="13"/>
      <c r="C44" s="13"/>
      <c r="D44" s="8">
        <f>B44-C44</f>
        <v>0</v>
      </c>
    </row>
    <row r="45" spans="1:4" ht="12.75" hidden="1">
      <c r="A45" s="9" t="s">
        <v>19</v>
      </c>
      <c r="B45" s="13"/>
      <c r="C45" s="13"/>
      <c r="D45" s="13">
        <f>B45-C45</f>
        <v>0</v>
      </c>
    </row>
    <row r="46" spans="1:4" ht="12.75" hidden="1">
      <c r="A46" s="9" t="s">
        <v>20</v>
      </c>
      <c r="B46" s="13"/>
      <c r="C46" s="13"/>
      <c r="D46" s="13">
        <f>B46-C46</f>
        <v>0</v>
      </c>
    </row>
    <row r="47" spans="1:4" ht="12.75" hidden="1">
      <c r="A47" s="9" t="s">
        <v>21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724933.5200000001</v>
      </c>
      <c r="C48" s="8">
        <f>C13+C26</f>
        <v>748773.62</v>
      </c>
      <c r="D48" s="8">
        <f>D13+D26</f>
        <v>-23840.100000000002</v>
      </c>
    </row>
    <row r="50" spans="1:4" ht="12.75">
      <c r="A50" t="s">
        <v>27</v>
      </c>
      <c r="D50" s="12">
        <f>D48</f>
        <v>-23840.100000000002</v>
      </c>
    </row>
    <row r="52" spans="1:4" ht="12.75">
      <c r="A52" s="11" t="s">
        <v>28</v>
      </c>
      <c r="D52" s="12">
        <f>D53+D54</f>
        <v>63353.48400000001</v>
      </c>
    </row>
    <row r="53" spans="1:4" ht="12.75" hidden="1">
      <c r="A53" s="11" t="s">
        <v>29</v>
      </c>
      <c r="D53" s="12">
        <f>(2.75*2*D5)+(1.1*5*D5)+(1.21*5*D5)</f>
        <v>54198.54000000001</v>
      </c>
    </row>
    <row r="54" spans="1:4" ht="12.75" hidden="1">
      <c r="A54" s="11" t="s">
        <v>30</v>
      </c>
      <c r="D54" s="12">
        <f>(0.24*12*D5)</f>
        <v>9154.944</v>
      </c>
    </row>
    <row r="55" spans="1:4" ht="12.75">
      <c r="A55" s="11" t="s">
        <v>31</v>
      </c>
      <c r="D55" s="12">
        <f>(0.66*2*D5)</f>
        <v>4196.0160000000005</v>
      </c>
    </row>
    <row r="56" spans="1:4" ht="12.75">
      <c r="A56" s="11" t="s">
        <v>81</v>
      </c>
      <c r="D56" s="12">
        <f>(0.5*2*D5)+(0.55*5*D5)+(0.6*5*D5)</f>
        <v>21456.9</v>
      </c>
    </row>
    <row r="57" spans="1:4" ht="12.75">
      <c r="A57" s="11" t="s">
        <v>90</v>
      </c>
      <c r="D57" s="12">
        <f>(2.2*7*D5)+(2.42*5*D5)</f>
        <v>87417.00000000001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4577.472</v>
      </c>
    </row>
    <row r="60" spans="1:4" ht="12.75">
      <c r="A60" s="11" t="s">
        <v>34</v>
      </c>
      <c r="D60" s="12">
        <f>(3.3*2*D5)+(1.2*5*D5)+(1.32*5*D5)</f>
        <v>61032.96000000001</v>
      </c>
    </row>
    <row r="61" spans="1:4" ht="12.75">
      <c r="A61" s="11" t="s">
        <v>35</v>
      </c>
      <c r="D61" s="12">
        <f>(2.2*2*D5)+(4.1*5*D5)+(4.51*5*D5)</f>
        <v>150834.06</v>
      </c>
    </row>
    <row r="62" spans="1:4" ht="12.75">
      <c r="A62" s="11" t="s">
        <v>36</v>
      </c>
      <c r="D62" s="12">
        <f>(0.24*7*D5)+(0.26*5*D5)</f>
        <v>9472.824</v>
      </c>
    </row>
    <row r="63" spans="1:4" ht="12.75">
      <c r="A63" s="11" t="s">
        <v>82</v>
      </c>
      <c r="D63" s="12">
        <f>(0.77*2*D5)+(3.2*5*D5)+(3.52*5*D5)</f>
        <v>111703.032</v>
      </c>
    </row>
    <row r="64" spans="1:4" ht="12.75">
      <c r="A64" s="11" t="s">
        <v>37</v>
      </c>
      <c r="D64" s="12">
        <f>2.25*12*D6</f>
        <v>1620</v>
      </c>
    </row>
    <row r="65" spans="1:4" ht="12.75">
      <c r="A65" s="11" t="s">
        <v>38</v>
      </c>
      <c r="D65" s="12">
        <v>194363.3</v>
      </c>
    </row>
    <row r="66" spans="1:4" ht="12.75">
      <c r="A66" s="11" t="s">
        <v>39</v>
      </c>
      <c r="D66" s="12">
        <f>(1.76*2*D5)+(0.75*5*D5)+(0.83*5*D5)</f>
        <v>36301.896</v>
      </c>
    </row>
    <row r="67" spans="1:4" ht="12.75" hidden="1">
      <c r="A67" s="15" t="s">
        <v>65</v>
      </c>
      <c r="D67" s="12">
        <v>0</v>
      </c>
    </row>
    <row r="68" spans="1:4" ht="12.75">
      <c r="A68" s="11"/>
      <c r="D68" s="12"/>
    </row>
    <row r="69" spans="1:4" ht="12.75">
      <c r="A69" s="11" t="s">
        <v>40</v>
      </c>
      <c r="D69" s="12">
        <f>D52+D55+D56+D57+D58+D59+D60+D61+D62+D63+D64+D65+D66</f>
        <v>746328.944</v>
      </c>
    </row>
    <row r="70" spans="1:4" ht="12.75">
      <c r="A70" s="11"/>
      <c r="D70" s="12"/>
    </row>
    <row r="71" spans="1:7" ht="12.75">
      <c r="A71" t="s">
        <v>68</v>
      </c>
      <c r="D71" s="12">
        <f>C48-D69</f>
        <v>2444.6759999999776</v>
      </c>
      <c r="G71" s="18"/>
    </row>
    <row r="72" ht="12.75">
      <c r="G72" s="18"/>
    </row>
    <row r="73" spans="4:7" ht="12.75">
      <c r="D73" s="12"/>
      <c r="G73" s="18"/>
    </row>
    <row r="74" ht="12.75">
      <c r="G74" s="18"/>
    </row>
    <row r="75" ht="12.75">
      <c r="G75" s="18"/>
    </row>
    <row r="76" ht="12.75">
      <c r="G76" s="18"/>
    </row>
    <row r="77" ht="12.75">
      <c r="G77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31"/>
  <dimension ref="A3:H115"/>
  <sheetViews>
    <sheetView zoomScalePageLayoutView="0" workbookViewId="0" topLeftCell="A1">
      <selection activeCell="J55" sqref="J55"/>
    </sheetView>
  </sheetViews>
  <sheetFormatPr defaultColWidth="9.140625" defaultRowHeight="12.75"/>
  <cols>
    <col min="1" max="1" width="17.00390625" style="0" customWidth="1"/>
    <col min="2" max="2" width="18.00390625" style="0" customWidth="1"/>
    <col min="3" max="3" width="14.00390625" style="0" customWidth="1"/>
    <col min="4" max="4" width="14.421875" style="0" customWidth="1"/>
    <col min="5" max="5" width="4.28125" style="0" customWidth="1"/>
  </cols>
  <sheetData>
    <row r="3" spans="1:7" ht="12.75">
      <c r="A3" s="1" t="s">
        <v>0</v>
      </c>
      <c r="B3" s="2" t="s">
        <v>1</v>
      </c>
      <c r="C3" s="1" t="s">
        <v>59</v>
      </c>
      <c r="D3" s="1"/>
      <c r="E3" s="1" t="s">
        <v>2</v>
      </c>
      <c r="F3" s="3">
        <v>4</v>
      </c>
      <c r="G3">
        <v>2015</v>
      </c>
    </row>
    <row r="5" spans="1:5" ht="12.75">
      <c r="A5" t="s">
        <v>3</v>
      </c>
      <c r="D5" s="4">
        <v>6384.1</v>
      </c>
      <c r="E5" s="5" t="s">
        <v>41</v>
      </c>
    </row>
    <row r="6" spans="1:5" ht="12.75">
      <c r="A6" t="s">
        <v>4</v>
      </c>
      <c r="D6" s="4">
        <v>123</v>
      </c>
      <c r="E6" s="5"/>
    </row>
    <row r="7" spans="1:5" ht="12.75">
      <c r="A7" t="s">
        <v>5</v>
      </c>
      <c r="D7" s="4">
        <v>308</v>
      </c>
      <c r="E7" s="5" t="s">
        <v>6</v>
      </c>
    </row>
    <row r="8" spans="1:5" ht="12.75">
      <c r="A8" t="s">
        <v>7</v>
      </c>
      <c r="D8" s="4">
        <v>514.8</v>
      </c>
      <c r="E8" s="5" t="s">
        <v>41</v>
      </c>
    </row>
    <row r="9" spans="1:5" ht="12.75">
      <c r="A9" t="s">
        <v>8</v>
      </c>
      <c r="D9" s="4">
        <v>10726</v>
      </c>
      <c r="E9" s="5" t="s">
        <v>41</v>
      </c>
    </row>
    <row r="10" ht="12.75" hidden="1"/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1455447.1300000001</v>
      </c>
      <c r="C13" s="8">
        <f>SUM(C14:C25)</f>
        <v>1439253.803</v>
      </c>
      <c r="D13" s="8">
        <f>SUM(D14:D25)</f>
        <v>16193.32700000002</v>
      </c>
    </row>
    <row r="14" spans="1:4" ht="12.75" hidden="1">
      <c r="A14" s="9" t="s">
        <v>25</v>
      </c>
      <c r="B14" s="8">
        <v>116445.99</v>
      </c>
      <c r="C14" s="8">
        <v>97437.59</v>
      </c>
      <c r="D14" s="8">
        <f aca="true" t="shared" si="0" ref="D14:D25">B14-C14</f>
        <v>19008.40000000001</v>
      </c>
    </row>
    <row r="15" spans="1:4" ht="12.75" hidden="1">
      <c r="A15" s="9" t="s">
        <v>13</v>
      </c>
      <c r="B15" s="8">
        <v>116445.99</v>
      </c>
      <c r="C15" s="13">
        <v>106466.783</v>
      </c>
      <c r="D15" s="8">
        <f t="shared" si="0"/>
        <v>9979.20700000001</v>
      </c>
    </row>
    <row r="16" spans="1:4" ht="12.75" hidden="1">
      <c r="A16" s="9" t="s">
        <v>14</v>
      </c>
      <c r="B16" s="8">
        <v>116445.99</v>
      </c>
      <c r="C16" s="13">
        <v>188691.58</v>
      </c>
      <c r="D16" s="8">
        <f t="shared" si="0"/>
        <v>-72245.58999999998</v>
      </c>
    </row>
    <row r="17" spans="1:4" ht="12.75" hidden="1">
      <c r="A17" s="9" t="s">
        <v>15</v>
      </c>
      <c r="B17" s="8">
        <v>116445.99</v>
      </c>
      <c r="C17" s="13">
        <v>90161.03</v>
      </c>
      <c r="D17" s="8">
        <f t="shared" si="0"/>
        <v>26284.960000000006</v>
      </c>
    </row>
    <row r="18" spans="1:4" ht="12.75" hidden="1">
      <c r="A18" s="9" t="s">
        <v>16</v>
      </c>
      <c r="B18" s="8">
        <v>116445.99</v>
      </c>
      <c r="C18" s="13">
        <v>106547.3</v>
      </c>
      <c r="D18" s="8">
        <f t="shared" si="0"/>
        <v>9898.690000000002</v>
      </c>
    </row>
    <row r="19" spans="1:4" ht="12.75" hidden="1">
      <c r="A19" s="9" t="s">
        <v>17</v>
      </c>
      <c r="B19" s="8">
        <v>116445.99</v>
      </c>
      <c r="C19" s="13">
        <v>106244.73</v>
      </c>
      <c r="D19" s="8">
        <f t="shared" si="0"/>
        <v>10201.26000000001</v>
      </c>
    </row>
    <row r="20" spans="1:4" ht="12.75" hidden="1">
      <c r="A20" s="9" t="s">
        <v>18</v>
      </c>
      <c r="B20" s="8">
        <v>116445.99</v>
      </c>
      <c r="C20" s="13">
        <v>113722.12</v>
      </c>
      <c r="D20" s="8">
        <f t="shared" si="0"/>
        <v>2723.87000000001</v>
      </c>
    </row>
    <row r="21" spans="1:4" ht="12.75" hidden="1">
      <c r="A21" s="9" t="s">
        <v>19</v>
      </c>
      <c r="B21" s="13">
        <v>128065.04</v>
      </c>
      <c r="C21" s="13">
        <v>118971.88</v>
      </c>
      <c r="D21" s="8">
        <f t="shared" si="0"/>
        <v>9093.159999999989</v>
      </c>
    </row>
    <row r="22" spans="1:4" ht="12.75" hidden="1">
      <c r="A22" s="9" t="s">
        <v>20</v>
      </c>
      <c r="B22" s="13">
        <v>128065.04</v>
      </c>
      <c r="C22" s="13">
        <v>123674.46</v>
      </c>
      <c r="D22" s="8">
        <f t="shared" si="0"/>
        <v>4390.579999999987</v>
      </c>
    </row>
    <row r="23" spans="1:4" ht="12.75" hidden="1">
      <c r="A23" s="9" t="s">
        <v>21</v>
      </c>
      <c r="B23" s="13">
        <v>128065.04</v>
      </c>
      <c r="C23" s="13">
        <v>128900.73</v>
      </c>
      <c r="D23" s="13">
        <f t="shared" si="0"/>
        <v>-835.6900000000023</v>
      </c>
    </row>
    <row r="24" spans="1:4" ht="12.75" hidden="1">
      <c r="A24" s="9" t="s">
        <v>22</v>
      </c>
      <c r="B24" s="13">
        <v>128065.04</v>
      </c>
      <c r="C24" s="13">
        <v>139771.85</v>
      </c>
      <c r="D24" s="13">
        <f t="shared" si="0"/>
        <v>-11706.810000000012</v>
      </c>
    </row>
    <row r="25" spans="1:4" ht="12.75" hidden="1">
      <c r="A25" s="9" t="s">
        <v>23</v>
      </c>
      <c r="B25" s="13">
        <v>128065.04</v>
      </c>
      <c r="C25" s="13">
        <v>118663.75</v>
      </c>
      <c r="D25" s="13">
        <f t="shared" si="0"/>
        <v>9401.289999999994</v>
      </c>
    </row>
    <row r="26" spans="1:4" ht="12.75">
      <c r="A26" s="7" t="s">
        <v>24</v>
      </c>
      <c r="B26" s="8">
        <f>SUM(B27:B38)</f>
        <v>554.26</v>
      </c>
      <c r="C26" s="8">
        <f>SUM(C27:C38)</f>
        <v>722.4399999999999</v>
      </c>
      <c r="D26" s="8">
        <f>SUM(D27:D38)</f>
        <v>-168.18</v>
      </c>
    </row>
    <row r="27" spans="1:4" ht="12.75" hidden="1">
      <c r="A27" s="9" t="s">
        <v>25</v>
      </c>
      <c r="B27" s="8">
        <v>46.56</v>
      </c>
      <c r="C27" s="8">
        <v>36.7</v>
      </c>
      <c r="D27" s="8">
        <f aca="true" t="shared" si="1" ref="D27:D34">B27-C27</f>
        <v>9.86</v>
      </c>
    </row>
    <row r="28" spans="1:4" ht="12.75" hidden="1">
      <c r="A28" s="9" t="s">
        <v>13</v>
      </c>
      <c r="B28" s="8">
        <v>46.56</v>
      </c>
      <c r="C28" s="13">
        <v>31.47</v>
      </c>
      <c r="D28" s="8">
        <f t="shared" si="1"/>
        <v>15.090000000000003</v>
      </c>
    </row>
    <row r="29" spans="1:4" ht="12.75" hidden="1">
      <c r="A29" s="9" t="s">
        <v>14</v>
      </c>
      <c r="B29" s="8">
        <v>46.56</v>
      </c>
      <c r="C29" s="13">
        <v>131.05</v>
      </c>
      <c r="D29" s="8">
        <f t="shared" si="1"/>
        <v>-84.49000000000001</v>
      </c>
    </row>
    <row r="30" spans="1:4" ht="12.75" hidden="1">
      <c r="A30" s="9" t="s">
        <v>15</v>
      </c>
      <c r="B30" s="8">
        <v>46.56</v>
      </c>
      <c r="C30" s="13">
        <v>265.13</v>
      </c>
      <c r="D30" s="8">
        <f t="shared" si="1"/>
        <v>-218.57</v>
      </c>
    </row>
    <row r="31" spans="1:4" ht="12.75" hidden="1">
      <c r="A31" s="9" t="s">
        <v>16</v>
      </c>
      <c r="B31" s="8">
        <v>46.56</v>
      </c>
      <c r="C31" s="13">
        <v>24.31</v>
      </c>
      <c r="D31" s="8">
        <f t="shared" si="1"/>
        <v>22.250000000000004</v>
      </c>
    </row>
    <row r="32" spans="1:4" ht="12.75" hidden="1">
      <c r="A32" s="9" t="s">
        <v>17</v>
      </c>
      <c r="B32" s="8">
        <v>46.56</v>
      </c>
      <c r="C32" s="13">
        <v>39.68</v>
      </c>
      <c r="D32" s="8">
        <f t="shared" si="1"/>
        <v>6.880000000000003</v>
      </c>
    </row>
    <row r="33" spans="1:4" ht="12.75" hidden="1">
      <c r="A33" s="9" t="s">
        <v>18</v>
      </c>
      <c r="B33" s="8">
        <v>46.56</v>
      </c>
      <c r="C33" s="13">
        <v>29.98</v>
      </c>
      <c r="D33" s="8">
        <f t="shared" si="1"/>
        <v>16.580000000000002</v>
      </c>
    </row>
    <row r="34" spans="1:4" ht="12.75" hidden="1">
      <c r="A34" s="9" t="s">
        <v>19</v>
      </c>
      <c r="B34" s="8">
        <v>46.56</v>
      </c>
      <c r="C34" s="13">
        <v>33.69</v>
      </c>
      <c r="D34" s="8">
        <f t="shared" si="1"/>
        <v>12.870000000000005</v>
      </c>
    </row>
    <row r="35" spans="1:4" ht="12.75" hidden="1">
      <c r="A35" s="9" t="s">
        <v>20</v>
      </c>
      <c r="B35" s="8">
        <v>46.56</v>
      </c>
      <c r="C35" s="13">
        <v>32.99</v>
      </c>
      <c r="D35" s="8">
        <f>B35-C35</f>
        <v>13.57</v>
      </c>
    </row>
    <row r="36" spans="1:4" ht="12.75" hidden="1">
      <c r="A36" s="9" t="s">
        <v>21</v>
      </c>
      <c r="B36" s="8">
        <v>46.56</v>
      </c>
      <c r="C36" s="13">
        <v>37.85</v>
      </c>
      <c r="D36" s="13">
        <f>B36-C36</f>
        <v>8.71</v>
      </c>
    </row>
    <row r="37" spans="1:4" ht="12.75" hidden="1">
      <c r="A37" s="9" t="s">
        <v>22</v>
      </c>
      <c r="B37" s="13">
        <v>44.33</v>
      </c>
      <c r="C37" s="13">
        <v>37.3</v>
      </c>
      <c r="D37" s="13">
        <f>B37-C37</f>
        <v>7.030000000000001</v>
      </c>
    </row>
    <row r="38" spans="1:4" ht="12.75" hidden="1">
      <c r="A38" s="9" t="s">
        <v>23</v>
      </c>
      <c r="B38" s="13">
        <v>44.33</v>
      </c>
      <c r="C38" s="13">
        <v>22.29</v>
      </c>
      <c r="D38" s="13">
        <f>B38-C38</f>
        <v>22.04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1456001.3900000001</v>
      </c>
      <c r="C48" s="8">
        <f>C13+C26</f>
        <v>1439976.243</v>
      </c>
      <c r="D48" s="8">
        <f>D13+D26</f>
        <v>16025.147000000019</v>
      </c>
    </row>
    <row r="50" spans="1:4" ht="12.75">
      <c r="A50" t="s">
        <v>27</v>
      </c>
      <c r="D50" s="12">
        <f>D48</f>
        <v>16025.147000000019</v>
      </c>
    </row>
    <row r="52" spans="1:4" ht="12.75">
      <c r="A52" s="11" t="s">
        <v>28</v>
      </c>
      <c r="D52" s="12">
        <f>D53+D54</f>
        <v>127235.113</v>
      </c>
    </row>
    <row r="53" spans="1:4" ht="12.75" hidden="1">
      <c r="A53" s="11" t="s">
        <v>29</v>
      </c>
      <c r="D53" s="12">
        <f>(2.75*2*D5)+(1.1*5*D5)+(1.21*5*D5)</f>
        <v>108848.905</v>
      </c>
    </row>
    <row r="54" spans="1:4" ht="12.75" hidden="1">
      <c r="A54" s="11" t="s">
        <v>30</v>
      </c>
      <c r="D54" s="12">
        <f>(0.24*12*D5)</f>
        <v>18386.208</v>
      </c>
    </row>
    <row r="55" spans="1:4" ht="12.75">
      <c r="A55" s="11" t="s">
        <v>31</v>
      </c>
      <c r="D55" s="12">
        <f>(0.66*2*D5)</f>
        <v>8427.012</v>
      </c>
    </row>
    <row r="56" spans="1:4" ht="12.75">
      <c r="A56" s="11" t="s">
        <v>81</v>
      </c>
      <c r="D56" s="12">
        <f>(0.5*2*D5)+(0.55*5*D5)+(0.6*5*D5)</f>
        <v>43092.675</v>
      </c>
    </row>
    <row r="57" spans="1:4" ht="12.75">
      <c r="A57" s="11" t="s">
        <v>90</v>
      </c>
      <c r="D57" s="12">
        <f>(2.2*7*D5)+(2.42*5*D5)</f>
        <v>175562.75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9193.104</v>
      </c>
    </row>
    <row r="60" spans="1:4" ht="12.75">
      <c r="A60" s="11" t="s">
        <v>34</v>
      </c>
      <c r="D60" s="12">
        <f>(3.3*2*D5)+(1.2*5*D5)+(1.32*5*D5)</f>
        <v>122574.72</v>
      </c>
    </row>
    <row r="61" spans="1:4" ht="12.75">
      <c r="A61" s="11" t="s">
        <v>35</v>
      </c>
      <c r="D61" s="12">
        <f>(2.2*2*D5)+(4.1*5*D5)+(4.51*5*D5)</f>
        <v>302925.545</v>
      </c>
    </row>
    <row r="62" spans="1:4" ht="12.75">
      <c r="A62" s="11" t="s">
        <v>36</v>
      </c>
      <c r="D62" s="12">
        <f>(0.24*7*D5)+(0.26*5*D5)</f>
        <v>19024.618000000002</v>
      </c>
    </row>
    <row r="63" spans="1:4" ht="12.75">
      <c r="A63" s="11" t="s">
        <v>82</v>
      </c>
      <c r="D63" s="12">
        <f>(0.77*2*D5)+(3.2*5*D5)+(3.52*5*D5)</f>
        <v>224337.27400000003</v>
      </c>
    </row>
    <row r="64" spans="1:4" ht="12.75">
      <c r="A64" s="11" t="s">
        <v>37</v>
      </c>
      <c r="D64" s="12">
        <f>2.25*12*D6</f>
        <v>3321</v>
      </c>
    </row>
    <row r="65" spans="1:4" ht="12.75">
      <c r="A65" s="11" t="s">
        <v>38</v>
      </c>
      <c r="D65" s="12">
        <v>121797</v>
      </c>
    </row>
    <row r="66" spans="1:4" ht="12.75">
      <c r="A66" s="11" t="s">
        <v>39</v>
      </c>
      <c r="D66" s="12">
        <f>(1.76*2*D5)+(0.75*5*D5)+(0.83*5*D5)</f>
        <v>72906.422</v>
      </c>
    </row>
    <row r="67" spans="1:4" ht="12.75" hidden="1">
      <c r="A67" s="15" t="s">
        <v>65</v>
      </c>
      <c r="D67" s="12">
        <v>0</v>
      </c>
    </row>
    <row r="68" spans="1:4" ht="12.75">
      <c r="A68" s="11"/>
      <c r="D68" s="12"/>
    </row>
    <row r="69" spans="1:4" ht="12.75">
      <c r="A69" s="11" t="s">
        <v>40</v>
      </c>
      <c r="D69" s="12">
        <f>D52+D55+D56+D57+D58+D59+D60+D61+D62+D63+D64+D65+D66</f>
        <v>1230397.233</v>
      </c>
    </row>
    <row r="70" spans="1:4" ht="12.75">
      <c r="A70" s="11"/>
      <c r="D70" s="12"/>
    </row>
    <row r="71" spans="1:4" ht="12.75">
      <c r="A71" t="s">
        <v>72</v>
      </c>
      <c r="D71" s="12">
        <f>C48-D69</f>
        <v>209579.01</v>
      </c>
    </row>
    <row r="72" ht="12.75">
      <c r="G72" s="18"/>
    </row>
    <row r="73" spans="1:8" ht="12.75">
      <c r="A73" s="17"/>
      <c r="B73" s="17"/>
      <c r="C73" s="17"/>
      <c r="D73" s="26"/>
      <c r="E73" s="17"/>
      <c r="F73" s="17"/>
      <c r="G73" s="18"/>
      <c r="H73" s="17"/>
    </row>
    <row r="74" spans="1:8" ht="12.75">
      <c r="A74" s="17"/>
      <c r="B74" s="17"/>
      <c r="C74" s="17"/>
      <c r="D74" s="26"/>
      <c r="E74" s="17"/>
      <c r="F74" s="17"/>
      <c r="G74" s="18"/>
      <c r="H74" s="17"/>
    </row>
    <row r="75" spans="1:8" ht="12.75">
      <c r="A75" s="17"/>
      <c r="B75" s="17"/>
      <c r="C75" s="17"/>
      <c r="D75" s="17"/>
      <c r="E75" s="17"/>
      <c r="F75" s="17"/>
      <c r="G75" s="18"/>
      <c r="H75" s="17"/>
    </row>
    <row r="76" spans="1:8" ht="12.75">
      <c r="A76" s="17"/>
      <c r="B76" s="17"/>
      <c r="C76" s="17"/>
      <c r="D76" s="17"/>
      <c r="E76" s="17"/>
      <c r="F76" s="17"/>
      <c r="G76" s="18"/>
      <c r="H76" s="17"/>
    </row>
    <row r="77" spans="1:8" ht="12.75">
      <c r="A77" s="17"/>
      <c r="B77" s="17"/>
      <c r="C77" s="17"/>
      <c r="D77" s="17"/>
      <c r="E77" s="17"/>
      <c r="F77" s="17"/>
      <c r="G77" s="18"/>
      <c r="H77" s="17"/>
    </row>
    <row r="78" spans="1:8" ht="12.75">
      <c r="A78" s="17"/>
      <c r="B78" s="17"/>
      <c r="C78" s="18"/>
      <c r="D78" s="17"/>
      <c r="E78" s="17"/>
      <c r="F78" s="17"/>
      <c r="G78" s="18"/>
      <c r="H78" s="17"/>
    </row>
    <row r="79" spans="1:8" ht="12.75">
      <c r="A79" s="17"/>
      <c r="B79" s="17"/>
      <c r="C79" s="18"/>
      <c r="D79" s="17"/>
      <c r="E79" s="17"/>
      <c r="F79" s="17"/>
      <c r="G79" s="18"/>
      <c r="H79" s="17"/>
    </row>
    <row r="80" spans="1:8" ht="12.75">
      <c r="A80" s="17"/>
      <c r="B80" s="17"/>
      <c r="C80" s="17"/>
      <c r="D80" s="17"/>
      <c r="E80" s="17"/>
      <c r="F80" s="17"/>
      <c r="G80" s="18"/>
      <c r="H80" s="17"/>
    </row>
    <row r="81" spans="1:8" ht="12.75">
      <c r="A81" s="17"/>
      <c r="B81" s="17"/>
      <c r="C81" s="17"/>
      <c r="D81" s="17"/>
      <c r="E81" s="17"/>
      <c r="F81" s="17"/>
      <c r="G81" s="18"/>
      <c r="H81" s="17"/>
    </row>
    <row r="82" spans="1:8" ht="12.75">
      <c r="A82" s="17"/>
      <c r="B82" s="17"/>
      <c r="C82" s="17"/>
      <c r="D82" s="17"/>
      <c r="E82" s="17"/>
      <c r="F82" s="17"/>
      <c r="G82" s="18"/>
      <c r="H82" s="17"/>
    </row>
    <row r="83" spans="1:8" ht="12.75">
      <c r="A83" s="17"/>
      <c r="B83" s="17"/>
      <c r="C83" s="17"/>
      <c r="D83" s="17"/>
      <c r="E83" s="17"/>
      <c r="F83" s="17"/>
      <c r="G83" s="18"/>
      <c r="H83" s="17"/>
    </row>
    <row r="84" spans="1:8" ht="12.75">
      <c r="A84" s="17"/>
      <c r="B84" s="17"/>
      <c r="C84" s="17"/>
      <c r="D84" s="17"/>
      <c r="E84" s="17"/>
      <c r="F84" s="17"/>
      <c r="G84" s="18"/>
      <c r="H84" s="17"/>
    </row>
    <row r="85" spans="1:8" ht="12.75">
      <c r="A85" s="17"/>
      <c r="B85" s="17"/>
      <c r="C85" s="17"/>
      <c r="D85" s="17"/>
      <c r="E85" s="17"/>
      <c r="F85" s="17"/>
      <c r="G85" s="18"/>
      <c r="H85" s="17"/>
    </row>
    <row r="86" spans="1:8" ht="12.75">
      <c r="A86" s="17"/>
      <c r="B86" s="17"/>
      <c r="C86" s="17"/>
      <c r="D86" s="17"/>
      <c r="E86" s="17"/>
      <c r="F86" s="17"/>
      <c r="G86" s="18"/>
      <c r="H86" s="17"/>
    </row>
    <row r="87" spans="1:8" ht="12.75">
      <c r="A87" s="17"/>
      <c r="B87" s="17"/>
      <c r="C87" s="17"/>
      <c r="D87" s="17"/>
      <c r="E87" s="17"/>
      <c r="F87" s="17"/>
      <c r="G87" s="18"/>
      <c r="H87" s="17"/>
    </row>
    <row r="88" spans="1:8" ht="12.75">
      <c r="A88" s="17"/>
      <c r="B88" s="17"/>
      <c r="C88" s="17"/>
      <c r="D88" s="17"/>
      <c r="E88" s="17"/>
      <c r="F88" s="17"/>
      <c r="G88" s="17"/>
      <c r="H88" s="17"/>
    </row>
    <row r="89" spans="1:8" ht="12.75">
      <c r="A89" s="17"/>
      <c r="B89" s="17"/>
      <c r="C89" s="18"/>
      <c r="D89" s="17"/>
      <c r="E89" s="17"/>
      <c r="F89" s="17"/>
      <c r="G89" s="17"/>
      <c r="H89" s="17"/>
    </row>
    <row r="90" spans="1:8" ht="12.75">
      <c r="A90" s="17"/>
      <c r="B90" s="17"/>
      <c r="C90" s="18"/>
      <c r="D90" s="17"/>
      <c r="E90" s="17"/>
      <c r="F90" s="17"/>
      <c r="G90" s="17"/>
      <c r="H90" s="17"/>
    </row>
    <row r="91" spans="1:8" ht="12.75">
      <c r="A91" s="18"/>
      <c r="B91" s="17"/>
      <c r="C91" s="18"/>
      <c r="D91" s="17"/>
      <c r="E91" s="17"/>
      <c r="F91" s="17"/>
      <c r="G91" s="17"/>
      <c r="H91" s="17"/>
    </row>
    <row r="92" spans="1:8" ht="12.75">
      <c r="A92" s="18"/>
      <c r="B92" s="17"/>
      <c r="C92" s="18"/>
      <c r="D92" s="17"/>
      <c r="E92" s="17"/>
      <c r="F92" s="17"/>
      <c r="G92" s="17"/>
      <c r="H92" s="17"/>
    </row>
    <row r="93" spans="1:8" ht="12.75">
      <c r="A93" s="18"/>
      <c r="B93" s="17"/>
      <c r="C93" s="18"/>
      <c r="D93" s="17"/>
      <c r="E93" s="17"/>
      <c r="F93" s="17"/>
      <c r="G93" s="17"/>
      <c r="H93" s="17"/>
    </row>
    <row r="94" spans="1:8" ht="12.75">
      <c r="A94" s="18"/>
      <c r="B94" s="17"/>
      <c r="C94" s="18"/>
      <c r="D94" s="17"/>
      <c r="E94" s="17"/>
      <c r="F94" s="17"/>
      <c r="G94" s="17"/>
      <c r="H94" s="17"/>
    </row>
    <row r="95" spans="1:8" ht="12.75">
      <c r="A95" s="18"/>
      <c r="B95" s="17"/>
      <c r="C95" s="18"/>
      <c r="D95" s="17"/>
      <c r="E95" s="17"/>
      <c r="F95" s="17"/>
      <c r="G95" s="17"/>
      <c r="H95" s="17"/>
    </row>
    <row r="96" spans="1:8" ht="12.75">
      <c r="A96" s="18"/>
      <c r="B96" s="17"/>
      <c r="C96" s="18"/>
      <c r="D96" s="17"/>
      <c r="E96" s="17"/>
      <c r="F96" s="17"/>
      <c r="G96" s="17"/>
      <c r="H96" s="17"/>
    </row>
    <row r="97" spans="1:8" ht="12.75">
      <c r="A97" s="18"/>
      <c r="B97" s="17"/>
      <c r="C97" s="17"/>
      <c r="D97" s="17"/>
      <c r="E97" s="17"/>
      <c r="F97" s="17"/>
      <c r="G97" s="17"/>
      <c r="H97" s="17"/>
    </row>
    <row r="98" spans="1:8" ht="12.75">
      <c r="A98" s="18"/>
      <c r="B98" s="17"/>
      <c r="C98" s="17"/>
      <c r="D98" s="17"/>
      <c r="E98" s="17"/>
      <c r="F98" s="17"/>
      <c r="G98" s="17"/>
      <c r="H98" s="17"/>
    </row>
    <row r="99" spans="1:8" ht="12.75">
      <c r="A99" s="18"/>
      <c r="B99" s="17"/>
      <c r="C99" s="17"/>
      <c r="D99" s="17"/>
      <c r="E99" s="17"/>
      <c r="F99" s="17"/>
      <c r="G99" s="17"/>
      <c r="H99" s="17"/>
    </row>
    <row r="100" spans="1:8" ht="12.75">
      <c r="A100" s="18"/>
      <c r="B100" s="17"/>
      <c r="C100" s="17"/>
      <c r="D100" s="17"/>
      <c r="E100" s="17"/>
      <c r="F100" s="17"/>
      <c r="G100" s="17"/>
      <c r="H100" s="17"/>
    </row>
    <row r="101" spans="1:8" ht="12.75">
      <c r="A101" s="18"/>
      <c r="B101" s="17"/>
      <c r="C101" s="17"/>
      <c r="D101" s="17"/>
      <c r="E101" s="17"/>
      <c r="F101" s="17"/>
      <c r="G101" s="17"/>
      <c r="H101" s="17"/>
    </row>
    <row r="102" spans="1:8" ht="12.75">
      <c r="A102" s="18"/>
      <c r="B102" s="17"/>
      <c r="C102" s="17"/>
      <c r="D102" s="17"/>
      <c r="E102" s="17"/>
      <c r="F102" s="17"/>
      <c r="G102" s="17"/>
      <c r="H102" s="17"/>
    </row>
    <row r="103" spans="1:8" ht="12.75">
      <c r="A103" s="18"/>
      <c r="B103" s="17"/>
      <c r="C103" s="17"/>
      <c r="D103" s="17"/>
      <c r="E103" s="17"/>
      <c r="F103" s="17"/>
      <c r="G103" s="17"/>
      <c r="H103" s="17"/>
    </row>
    <row r="104" spans="1:8" ht="12.75">
      <c r="A104" s="18"/>
      <c r="B104" s="17"/>
      <c r="C104" s="17"/>
      <c r="D104" s="17"/>
      <c r="E104" s="17"/>
      <c r="F104" s="17"/>
      <c r="G104" s="17"/>
      <c r="H104" s="17"/>
    </row>
    <row r="105" spans="1:8" ht="12.75">
      <c r="A105" s="18"/>
      <c r="B105" s="17"/>
      <c r="C105" s="17"/>
      <c r="D105" s="17"/>
      <c r="E105" s="17"/>
      <c r="F105" s="17"/>
      <c r="G105" s="17"/>
      <c r="H105" s="17"/>
    </row>
    <row r="106" spans="1:8" ht="12.75">
      <c r="A106" s="18"/>
      <c r="B106" s="17"/>
      <c r="C106" s="17"/>
      <c r="D106" s="17"/>
      <c r="E106" s="17"/>
      <c r="F106" s="17"/>
      <c r="G106" s="17"/>
      <c r="H106" s="17"/>
    </row>
    <row r="107" spans="1:8" ht="12.75">
      <c r="A107" s="18"/>
      <c r="B107" s="17"/>
      <c r="C107" s="17"/>
      <c r="D107" s="17"/>
      <c r="E107" s="17"/>
      <c r="F107" s="17"/>
      <c r="G107" s="17"/>
      <c r="H107" s="17"/>
    </row>
    <row r="108" spans="1:8" ht="12.75">
      <c r="A108" s="17"/>
      <c r="B108" s="17"/>
      <c r="C108" s="17"/>
      <c r="D108" s="17"/>
      <c r="E108" s="17"/>
      <c r="F108" s="17"/>
      <c r="G108" s="17"/>
      <c r="H108" s="17"/>
    </row>
    <row r="109" spans="1:8" ht="12.75">
      <c r="A109" s="17"/>
      <c r="B109" s="17"/>
      <c r="C109" s="17"/>
      <c r="D109" s="17"/>
      <c r="E109" s="17"/>
      <c r="F109" s="17"/>
      <c r="G109" s="17"/>
      <c r="H109" s="17"/>
    </row>
    <row r="110" spans="1:8" ht="12.75">
      <c r="A110" s="17"/>
      <c r="B110" s="17"/>
      <c r="C110" s="17"/>
      <c r="D110" s="17"/>
      <c r="E110" s="17"/>
      <c r="F110" s="17"/>
      <c r="G110" s="17"/>
      <c r="H110" s="17"/>
    </row>
    <row r="111" spans="1:8" ht="12.75">
      <c r="A111" s="17"/>
      <c r="B111" s="17"/>
      <c r="C111" s="17"/>
      <c r="D111" s="17"/>
      <c r="E111" s="17"/>
      <c r="F111" s="17"/>
      <c r="G111" s="17"/>
      <c r="H111" s="17"/>
    </row>
    <row r="112" spans="1:8" ht="12.75">
      <c r="A112" s="17"/>
      <c r="B112" s="17"/>
      <c r="C112" s="17"/>
      <c r="D112" s="17"/>
      <c r="E112" s="17"/>
      <c r="F112" s="17"/>
      <c r="G112" s="17"/>
      <c r="H112" s="17"/>
    </row>
    <row r="113" spans="1:8" ht="12.75">
      <c r="A113" s="17"/>
      <c r="B113" s="17"/>
      <c r="C113" s="17"/>
      <c r="D113" s="17"/>
      <c r="E113" s="17"/>
      <c r="F113" s="17"/>
      <c r="G113" s="17"/>
      <c r="H113" s="17"/>
    </row>
    <row r="114" spans="1:8" ht="12.75">
      <c r="A114" s="17"/>
      <c r="B114" s="17"/>
      <c r="C114" s="17"/>
      <c r="D114" s="17"/>
      <c r="E114" s="17"/>
      <c r="F114" s="17"/>
      <c r="G114" s="17"/>
      <c r="H114" s="17"/>
    </row>
    <row r="115" spans="1:8" ht="12.75">
      <c r="A115" s="17"/>
      <c r="B115" s="17"/>
      <c r="C115" s="17"/>
      <c r="D115" s="17"/>
      <c r="E115" s="17"/>
      <c r="F115" s="17"/>
      <c r="G115" s="17"/>
      <c r="H115" s="17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32"/>
  <dimension ref="A1:G78"/>
  <sheetViews>
    <sheetView zoomScalePageLayoutView="0" workbookViewId="0" topLeftCell="A7">
      <selection activeCell="G63" sqref="G63:K79"/>
    </sheetView>
  </sheetViews>
  <sheetFormatPr defaultColWidth="9.140625" defaultRowHeight="12.75"/>
  <cols>
    <col min="1" max="1" width="15.140625" style="0" customWidth="1"/>
    <col min="2" max="2" width="14.28125" style="0" customWidth="1"/>
    <col min="3" max="3" width="13.7109375" style="0" customWidth="1"/>
    <col min="4" max="4" width="14.00390625" style="0" customWidth="1"/>
  </cols>
  <sheetData>
    <row r="1" spans="1:7" ht="12.75">
      <c r="A1" s="1" t="s">
        <v>0</v>
      </c>
      <c r="B1" s="2" t="s">
        <v>1</v>
      </c>
      <c r="C1" s="1" t="s">
        <v>59</v>
      </c>
      <c r="D1" s="1"/>
      <c r="E1" s="1" t="s">
        <v>2</v>
      </c>
      <c r="F1" s="3">
        <v>8</v>
      </c>
      <c r="G1">
        <v>2015</v>
      </c>
    </row>
    <row r="3" spans="1:5" ht="12.75">
      <c r="A3" t="s">
        <v>3</v>
      </c>
      <c r="D3" s="4">
        <v>3190</v>
      </c>
      <c r="E3" s="5" t="s">
        <v>41</v>
      </c>
    </row>
    <row r="4" spans="1:5" ht="12.75">
      <c r="A4" t="s">
        <v>4</v>
      </c>
      <c r="D4" s="4">
        <v>60</v>
      </c>
      <c r="E4" s="5"/>
    </row>
    <row r="5" spans="1:5" ht="12.75">
      <c r="A5" t="s">
        <v>5</v>
      </c>
      <c r="D5" s="4">
        <v>136</v>
      </c>
      <c r="E5" s="5" t="s">
        <v>6</v>
      </c>
    </row>
    <row r="6" spans="1:5" ht="12.75">
      <c r="A6" t="s">
        <v>7</v>
      </c>
      <c r="D6" s="4">
        <v>370.2</v>
      </c>
      <c r="E6" s="5" t="s">
        <v>41</v>
      </c>
    </row>
    <row r="7" spans="1:5" ht="12.75">
      <c r="A7" t="s">
        <v>8</v>
      </c>
      <c r="D7" s="4">
        <v>3761</v>
      </c>
      <c r="E7" s="5" t="s">
        <v>41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726276.15</v>
      </c>
      <c r="C11" s="8">
        <f>SUM(C12:C23)</f>
        <v>755963.04</v>
      </c>
      <c r="D11" s="8">
        <f>SUM(D12:D23)</f>
        <v>-29686.890000000014</v>
      </c>
    </row>
    <row r="12" spans="1:4" ht="12.75" hidden="1">
      <c r="A12" s="9" t="s">
        <v>25</v>
      </c>
      <c r="B12" s="8">
        <f>58185.64-53.65</f>
        <v>58131.99</v>
      </c>
      <c r="C12" s="8">
        <v>60045.92</v>
      </c>
      <c r="D12" s="8">
        <f aca="true" t="shared" si="0" ref="D12:D23">B12-C12</f>
        <v>-1913.9300000000003</v>
      </c>
    </row>
    <row r="13" spans="1:4" ht="12.75" hidden="1">
      <c r="A13" s="9" t="s">
        <v>13</v>
      </c>
      <c r="B13" s="8">
        <v>58185.64</v>
      </c>
      <c r="C13" s="13">
        <v>51301.43</v>
      </c>
      <c r="D13" s="8">
        <f t="shared" si="0"/>
        <v>6884.209999999999</v>
      </c>
    </row>
    <row r="14" spans="1:4" ht="12.75" hidden="1">
      <c r="A14" s="9" t="s">
        <v>14</v>
      </c>
      <c r="B14" s="8">
        <v>58185.64</v>
      </c>
      <c r="C14" s="13">
        <v>114832.28</v>
      </c>
      <c r="D14" s="8">
        <f t="shared" si="0"/>
        <v>-56646.64</v>
      </c>
    </row>
    <row r="15" spans="1:4" ht="12.75" hidden="1">
      <c r="A15" s="9" t="s">
        <v>15</v>
      </c>
      <c r="B15" s="8">
        <v>58185.64</v>
      </c>
      <c r="C15" s="13">
        <v>52652.64</v>
      </c>
      <c r="D15" s="8">
        <f t="shared" si="0"/>
        <v>5533</v>
      </c>
    </row>
    <row r="16" spans="1:4" ht="12.75" hidden="1">
      <c r="A16" s="9" t="s">
        <v>16</v>
      </c>
      <c r="B16" s="8">
        <f>58185.64-926.48</f>
        <v>57259.159999999996</v>
      </c>
      <c r="C16" s="13">
        <v>47271.16</v>
      </c>
      <c r="D16" s="8">
        <f t="shared" si="0"/>
        <v>9987.999999999993</v>
      </c>
    </row>
    <row r="17" spans="1:4" ht="12.75" hidden="1">
      <c r="A17" s="9" t="s">
        <v>17</v>
      </c>
      <c r="B17" s="8">
        <v>58185.64</v>
      </c>
      <c r="C17" s="13">
        <v>39891.53</v>
      </c>
      <c r="D17" s="8">
        <f t="shared" si="0"/>
        <v>18294.11</v>
      </c>
    </row>
    <row r="18" spans="1:4" ht="12.75" hidden="1">
      <c r="A18" s="9" t="s">
        <v>18</v>
      </c>
      <c r="B18" s="8">
        <v>58185.64</v>
      </c>
      <c r="C18" s="13">
        <v>61049.17</v>
      </c>
      <c r="D18" s="8">
        <f t="shared" si="0"/>
        <v>-2863.529999999999</v>
      </c>
    </row>
    <row r="19" spans="1:4" ht="12.75" hidden="1">
      <c r="A19" s="9" t="s">
        <v>19</v>
      </c>
      <c r="B19" s="13">
        <v>63991.36</v>
      </c>
      <c r="C19" s="13">
        <v>64762.08</v>
      </c>
      <c r="D19" s="8">
        <f t="shared" si="0"/>
        <v>-770.7200000000012</v>
      </c>
    </row>
    <row r="20" spans="1:4" ht="12.75" hidden="1">
      <c r="A20" s="9" t="s">
        <v>20</v>
      </c>
      <c r="B20" s="13">
        <v>63991.36</v>
      </c>
      <c r="C20" s="13">
        <v>72432.1</v>
      </c>
      <c r="D20" s="8">
        <f t="shared" si="0"/>
        <v>-8440.740000000005</v>
      </c>
    </row>
    <row r="21" spans="1:4" ht="12.75" hidden="1">
      <c r="A21" s="9" t="s">
        <v>21</v>
      </c>
      <c r="B21" s="13">
        <v>63991.36</v>
      </c>
      <c r="C21" s="13">
        <v>63443.45</v>
      </c>
      <c r="D21" s="13">
        <f t="shared" si="0"/>
        <v>547.9100000000035</v>
      </c>
    </row>
    <row r="22" spans="1:4" ht="12.75" hidden="1">
      <c r="A22" s="9" t="s">
        <v>22</v>
      </c>
      <c r="B22" s="13">
        <v>63991.36</v>
      </c>
      <c r="C22" s="13">
        <v>62216.21</v>
      </c>
      <c r="D22" s="13">
        <f t="shared" si="0"/>
        <v>1775.1500000000015</v>
      </c>
    </row>
    <row r="23" spans="1:4" ht="12.75" hidden="1">
      <c r="A23" s="9" t="s">
        <v>23</v>
      </c>
      <c r="B23" s="13">
        <v>63991.36</v>
      </c>
      <c r="C23" s="13">
        <v>66065.07</v>
      </c>
      <c r="D23" s="13">
        <f t="shared" si="0"/>
        <v>-2073.7100000000064</v>
      </c>
    </row>
    <row r="24" spans="1:4" ht="12.75">
      <c r="A24" s="7" t="s">
        <v>24</v>
      </c>
      <c r="B24" s="8">
        <f>SUM(B25:B36)</f>
        <v>393.95999999999987</v>
      </c>
      <c r="C24" s="8">
        <f>SUM(C25:C36)</f>
        <v>435.96</v>
      </c>
      <c r="D24" s="8">
        <f>SUM(D25:D36)</f>
        <v>-42.00000000000001</v>
      </c>
    </row>
    <row r="25" spans="1:4" ht="12.75" hidden="1">
      <c r="A25" s="9" t="s">
        <v>25</v>
      </c>
      <c r="B25" s="8">
        <v>32.83</v>
      </c>
      <c r="C25" s="8">
        <v>41.75</v>
      </c>
      <c r="D25" s="8">
        <f>B25-C25</f>
        <v>-8.920000000000002</v>
      </c>
    </row>
    <row r="26" spans="1:4" ht="12.75" hidden="1">
      <c r="A26" s="9" t="s">
        <v>13</v>
      </c>
      <c r="B26" s="8">
        <v>32.83</v>
      </c>
      <c r="C26" s="13">
        <v>29.69</v>
      </c>
      <c r="D26" s="8">
        <f>B26-C26</f>
        <v>3.139999999999997</v>
      </c>
    </row>
    <row r="27" spans="1:4" ht="12.75" hidden="1">
      <c r="A27" s="9" t="s">
        <v>14</v>
      </c>
      <c r="B27" s="8">
        <v>32.83</v>
      </c>
      <c r="C27" s="13">
        <v>24.26</v>
      </c>
      <c r="D27" s="8">
        <f>B27-C27</f>
        <v>8.569999999999997</v>
      </c>
    </row>
    <row r="28" spans="1:4" ht="12.75" hidden="1">
      <c r="A28" s="9" t="s">
        <v>15</v>
      </c>
      <c r="B28" s="8">
        <v>32.83</v>
      </c>
      <c r="C28" s="13">
        <v>75.07</v>
      </c>
      <c r="D28" s="8">
        <f>B28-C28</f>
        <v>-42.239999999999995</v>
      </c>
    </row>
    <row r="29" spans="1:4" ht="12.75" hidden="1">
      <c r="A29" s="9" t="s">
        <v>16</v>
      </c>
      <c r="B29" s="8">
        <v>32.83</v>
      </c>
      <c r="C29" s="13">
        <v>45.18</v>
      </c>
      <c r="D29" s="8">
        <f aca="true" t="shared" si="1" ref="D29:D36">B29-C29</f>
        <v>-12.350000000000001</v>
      </c>
    </row>
    <row r="30" spans="1:4" ht="12.75" hidden="1">
      <c r="A30" s="9" t="s">
        <v>17</v>
      </c>
      <c r="B30" s="8">
        <v>32.83</v>
      </c>
      <c r="C30" s="13">
        <v>12.43</v>
      </c>
      <c r="D30" s="8">
        <f t="shared" si="1"/>
        <v>20.4</v>
      </c>
    </row>
    <row r="31" spans="1:4" ht="12.75" hidden="1">
      <c r="A31" s="9" t="s">
        <v>18</v>
      </c>
      <c r="B31" s="8">
        <v>32.83</v>
      </c>
      <c r="C31" s="13">
        <v>51.12</v>
      </c>
      <c r="D31" s="8">
        <f t="shared" si="1"/>
        <v>-18.29</v>
      </c>
    </row>
    <row r="32" spans="1:4" ht="12.75" hidden="1">
      <c r="A32" s="9" t="s">
        <v>19</v>
      </c>
      <c r="B32" s="8">
        <v>32.83</v>
      </c>
      <c r="C32" s="13">
        <v>25.31</v>
      </c>
      <c r="D32" s="8">
        <f t="shared" si="1"/>
        <v>7.52</v>
      </c>
    </row>
    <row r="33" spans="1:4" ht="12.75" hidden="1">
      <c r="A33" s="9" t="s">
        <v>20</v>
      </c>
      <c r="B33" s="8">
        <v>32.83</v>
      </c>
      <c r="C33" s="13">
        <v>24.96</v>
      </c>
      <c r="D33" s="8">
        <f t="shared" si="1"/>
        <v>7.869999999999997</v>
      </c>
    </row>
    <row r="34" spans="1:4" ht="12.75" hidden="1">
      <c r="A34" s="9" t="s">
        <v>21</v>
      </c>
      <c r="B34" s="8">
        <v>32.83</v>
      </c>
      <c r="C34" s="13">
        <v>42.33</v>
      </c>
      <c r="D34" s="13">
        <f t="shared" si="1"/>
        <v>-9.5</v>
      </c>
    </row>
    <row r="35" spans="1:4" ht="12.75" hidden="1">
      <c r="A35" s="9" t="s">
        <v>22</v>
      </c>
      <c r="B35" s="8">
        <v>32.83</v>
      </c>
      <c r="C35" s="13">
        <v>15.97</v>
      </c>
      <c r="D35" s="13">
        <f t="shared" si="1"/>
        <v>16.86</v>
      </c>
    </row>
    <row r="36" spans="1:4" ht="12.75" hidden="1">
      <c r="A36" s="9" t="s">
        <v>23</v>
      </c>
      <c r="B36" s="8">
        <v>32.83</v>
      </c>
      <c r="C36" s="13">
        <v>47.89</v>
      </c>
      <c r="D36" s="13">
        <f t="shared" si="1"/>
        <v>-15.060000000000002</v>
      </c>
    </row>
    <row r="37" spans="1:4" ht="12.75" hidden="1">
      <c r="A37" s="7" t="s">
        <v>42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148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17</v>
      </c>
      <c r="B41" s="8"/>
      <c r="C41" s="8"/>
      <c r="D41" s="8">
        <f>B41-C41</f>
        <v>0</v>
      </c>
    </row>
    <row r="42" spans="1:4" ht="12.75" hidden="1">
      <c r="A42" s="9" t="s">
        <v>18</v>
      </c>
      <c r="B42" s="13"/>
      <c r="C42" s="13"/>
      <c r="D42" s="8">
        <f>B42-C42</f>
        <v>0</v>
      </c>
    </row>
    <row r="43" spans="1:4" ht="12.75" hidden="1">
      <c r="A43" s="9" t="s">
        <v>19</v>
      </c>
      <c r="B43" s="13"/>
      <c r="C43" s="13"/>
      <c r="D43" s="13">
        <f>B43-C43</f>
        <v>0</v>
      </c>
    </row>
    <row r="44" spans="1:4" ht="12.75" hidden="1">
      <c r="A44" s="9" t="s">
        <v>20</v>
      </c>
      <c r="B44" s="13"/>
      <c r="C44" s="13"/>
      <c r="D44" s="13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B11+B24+B37+B40</f>
        <v>726670.11</v>
      </c>
      <c r="C46" s="8">
        <f>C11+C24+C37+C40</f>
        <v>756399</v>
      </c>
      <c r="D46" s="8">
        <f>D11+D24+D37+D40</f>
        <v>-29728.890000000014</v>
      </c>
    </row>
    <row r="48" spans="1:4" ht="12.75">
      <c r="A48" t="s">
        <v>27</v>
      </c>
      <c r="D48" s="12">
        <f>D46</f>
        <v>-29728.890000000014</v>
      </c>
    </row>
    <row r="50" spans="1:4" ht="12" customHeight="1">
      <c r="A50" s="11" t="s">
        <v>28</v>
      </c>
      <c r="D50" s="12">
        <f>D51+D52</f>
        <v>63576.7</v>
      </c>
    </row>
    <row r="51" spans="1:4" ht="12.75" hidden="1">
      <c r="A51" s="11" t="s">
        <v>29</v>
      </c>
      <c r="D51" s="12">
        <f>(2.75*2*D3)+(1.1*5*D3)+(1.21*5*D3)</f>
        <v>54389.5</v>
      </c>
    </row>
    <row r="52" spans="1:4" ht="12.75" hidden="1">
      <c r="A52" s="11" t="s">
        <v>30</v>
      </c>
      <c r="D52" s="12">
        <f>(0.24*12*D3)</f>
        <v>9187.199999999999</v>
      </c>
    </row>
    <row r="53" spans="1:4" ht="12.75">
      <c r="A53" s="11" t="s">
        <v>31</v>
      </c>
      <c r="D53" s="12">
        <f>(0.66*2*D3)</f>
        <v>4210.8</v>
      </c>
    </row>
    <row r="54" spans="1:4" ht="12.75">
      <c r="A54" s="11" t="s">
        <v>81</v>
      </c>
      <c r="D54" s="12">
        <f>(0.5*2*D3)+(0.55*5*D3)+(0.6*5*D3)</f>
        <v>21532.5</v>
      </c>
    </row>
    <row r="55" spans="1:4" ht="12.75">
      <c r="A55" s="11" t="s">
        <v>90</v>
      </c>
      <c r="D55" s="12">
        <f>(2.2*7*D3)+(2.42*5*D3)</f>
        <v>87725</v>
      </c>
    </row>
    <row r="56" spans="1:4" ht="12.75" hidden="1">
      <c r="A56" s="11" t="s">
        <v>33</v>
      </c>
      <c r="D56" s="12">
        <v>0</v>
      </c>
    </row>
    <row r="57" spans="1:4" ht="12.75">
      <c r="A57" s="11" t="s">
        <v>80</v>
      </c>
      <c r="D57" s="12">
        <f>(0.72*2*D3)</f>
        <v>4593.599999999999</v>
      </c>
    </row>
    <row r="58" spans="1:4" ht="12.75">
      <c r="A58" s="11" t="s">
        <v>34</v>
      </c>
      <c r="D58" s="12">
        <f>(3.3*2*D3)+(1.2*5*D3)+(1.32*5*D3)</f>
        <v>61248</v>
      </c>
    </row>
    <row r="59" spans="1:4" ht="12.75">
      <c r="A59" s="11" t="s">
        <v>35</v>
      </c>
      <c r="D59" s="12">
        <f>(2.2*2*D3)+(4.1*5*D3)+(4.51*5*D3)</f>
        <v>151365.5</v>
      </c>
    </row>
    <row r="60" spans="1:4" ht="12.75">
      <c r="A60" s="11" t="s">
        <v>36</v>
      </c>
      <c r="D60" s="12">
        <f>(0.24*7*D3)+(0.26*5*D3)</f>
        <v>9506.2</v>
      </c>
    </row>
    <row r="61" spans="1:4" ht="12.75">
      <c r="A61" s="11" t="s">
        <v>82</v>
      </c>
      <c r="D61" s="12">
        <f>(0.77*2*D3)+(3.2*5*D3)+(3.52*5*D3)</f>
        <v>112096.6</v>
      </c>
    </row>
    <row r="62" spans="1:4" ht="12.75">
      <c r="A62" s="11" t="s">
        <v>37</v>
      </c>
      <c r="D62" s="12">
        <f>2.25*12*D4</f>
        <v>1620</v>
      </c>
    </row>
    <row r="63" spans="1:4" ht="12.75">
      <c r="A63" s="11" t="s">
        <v>38</v>
      </c>
      <c r="D63" s="12">
        <v>70170</v>
      </c>
    </row>
    <row r="64" spans="1:4" ht="12.75">
      <c r="A64" s="11" t="s">
        <v>39</v>
      </c>
      <c r="D64" s="12">
        <f>(1.76*2*D3)+(0.75*5*D3)+(0.83*5*D3)</f>
        <v>36429.799999999996</v>
      </c>
    </row>
    <row r="65" spans="1:4" ht="12.75" hidden="1">
      <c r="A65" s="15" t="s">
        <v>65</v>
      </c>
      <c r="D65" s="12">
        <v>0</v>
      </c>
    </row>
    <row r="66" spans="1:4" ht="12.75">
      <c r="A66" s="11"/>
      <c r="D66" s="12"/>
    </row>
    <row r="67" spans="1:7" ht="12.75">
      <c r="A67" s="11" t="s">
        <v>40</v>
      </c>
      <c r="D67" s="12">
        <f>D50+D53+D54+D55+D56+D57+D58+D59+D60+D61+D62+D63+D64</f>
        <v>624074.7000000001</v>
      </c>
      <c r="G67" s="18"/>
    </row>
    <row r="68" spans="1:7" ht="12.75">
      <c r="A68" s="11"/>
      <c r="D68" s="12"/>
      <c r="G68" s="18"/>
    </row>
    <row r="69" spans="1:7" ht="12.75">
      <c r="A69" t="s">
        <v>72</v>
      </c>
      <c r="D69" s="12">
        <f>C46-D67</f>
        <v>132324.29999999993</v>
      </c>
      <c r="G69" s="18"/>
    </row>
    <row r="70" ht="12.75">
      <c r="G70" s="18"/>
    </row>
    <row r="71" spans="4:7" ht="12.75">
      <c r="D71" s="12"/>
      <c r="G71" s="18"/>
    </row>
    <row r="72" ht="12.75">
      <c r="G72" s="18"/>
    </row>
    <row r="73" ht="12.75">
      <c r="G73" s="18"/>
    </row>
    <row r="74" ht="12.75">
      <c r="G74" s="18"/>
    </row>
    <row r="75" ht="12.75">
      <c r="G75" s="18"/>
    </row>
    <row r="76" ht="12.75">
      <c r="G76" s="18"/>
    </row>
    <row r="77" ht="12.75">
      <c r="G77" s="18"/>
    </row>
    <row r="78" ht="12.75">
      <c r="G78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33"/>
  <dimension ref="A2:G73"/>
  <sheetViews>
    <sheetView zoomScalePageLayoutView="0" workbookViewId="0" topLeftCell="A7">
      <selection activeCell="G64" sqref="G64:J75"/>
    </sheetView>
  </sheetViews>
  <sheetFormatPr defaultColWidth="9.140625" defaultRowHeight="12.75"/>
  <cols>
    <col min="1" max="1" width="13.140625" style="0" customWidth="1"/>
    <col min="2" max="3" width="14.421875" style="0" customWidth="1"/>
    <col min="4" max="4" width="15.7109375" style="0" customWidth="1"/>
  </cols>
  <sheetData>
    <row r="2" spans="1:7" ht="12.75">
      <c r="A2" s="1" t="s">
        <v>0</v>
      </c>
      <c r="B2" s="2" t="s">
        <v>1</v>
      </c>
      <c r="C2" s="1" t="s">
        <v>60</v>
      </c>
      <c r="D2" s="1"/>
      <c r="E2" s="1" t="s">
        <v>2</v>
      </c>
      <c r="F2" s="3">
        <v>38</v>
      </c>
      <c r="G2">
        <v>2015</v>
      </c>
    </row>
    <row r="4" spans="1:5" ht="12.75">
      <c r="A4" t="s">
        <v>3</v>
      </c>
      <c r="D4" s="4">
        <v>4029.7</v>
      </c>
      <c r="E4" s="5" t="s">
        <v>41</v>
      </c>
    </row>
    <row r="5" spans="1:5" ht="12.75">
      <c r="A5" t="s">
        <v>4</v>
      </c>
      <c r="D5" s="4">
        <v>108</v>
      </c>
      <c r="E5" s="5"/>
    </row>
    <row r="6" spans="1:5" ht="12.75">
      <c r="A6" t="s">
        <v>5</v>
      </c>
      <c r="D6" s="4">
        <v>229</v>
      </c>
      <c r="E6" s="5" t="s">
        <v>6</v>
      </c>
    </row>
    <row r="7" spans="1:5" ht="12.75">
      <c r="A7" t="s">
        <v>7</v>
      </c>
      <c r="D7" s="4">
        <v>2739.7</v>
      </c>
      <c r="E7" s="5" t="s">
        <v>41</v>
      </c>
    </row>
    <row r="8" spans="1:5" ht="12.75">
      <c r="A8" t="s">
        <v>8</v>
      </c>
      <c r="D8" s="4">
        <v>322</v>
      </c>
      <c r="E8" s="5" t="s">
        <v>41</v>
      </c>
    </row>
    <row r="11" spans="2:4" ht="12.75">
      <c r="B11" s="6" t="s">
        <v>9</v>
      </c>
      <c r="C11" s="6" t="s">
        <v>10</v>
      </c>
      <c r="D11" s="6" t="s">
        <v>11</v>
      </c>
    </row>
    <row r="12" spans="1:4" ht="12.75">
      <c r="A12" s="7" t="s">
        <v>12</v>
      </c>
      <c r="B12" s="8">
        <f>SUM(B13:B24)</f>
        <v>1055786.67</v>
      </c>
      <c r="C12" s="8">
        <f>SUM(C13:C24)</f>
        <v>1014923.7899999999</v>
      </c>
      <c r="D12" s="8">
        <f>SUM(D13:D24)</f>
        <v>40862.87999999999</v>
      </c>
    </row>
    <row r="13" spans="1:4" ht="12.75" hidden="1">
      <c r="A13" s="9" t="s">
        <v>25</v>
      </c>
      <c r="B13" s="8">
        <v>84449.95</v>
      </c>
      <c r="C13" s="8">
        <v>64168.8</v>
      </c>
      <c r="D13" s="8">
        <f aca="true" t="shared" si="0" ref="D13:D24">B13-C13</f>
        <v>20281.149999999994</v>
      </c>
    </row>
    <row r="14" spans="1:4" ht="12.75" hidden="1">
      <c r="A14" s="9" t="s">
        <v>13</v>
      </c>
      <c r="B14" s="8">
        <v>84449.95</v>
      </c>
      <c r="C14" s="13">
        <v>75144.12</v>
      </c>
      <c r="D14" s="8">
        <f t="shared" si="0"/>
        <v>9305.830000000002</v>
      </c>
    </row>
    <row r="15" spans="1:4" ht="12.75" hidden="1">
      <c r="A15" s="9" t="s">
        <v>14</v>
      </c>
      <c r="B15" s="8">
        <v>84449.95</v>
      </c>
      <c r="C15" s="13">
        <v>116147.84</v>
      </c>
      <c r="D15" s="8">
        <f t="shared" si="0"/>
        <v>-31697.89</v>
      </c>
    </row>
    <row r="16" spans="1:4" ht="12.75" hidden="1">
      <c r="A16" s="9" t="s">
        <v>15</v>
      </c>
      <c r="B16" s="8">
        <v>84449.95</v>
      </c>
      <c r="C16" s="13">
        <v>68398.63</v>
      </c>
      <c r="D16" s="8">
        <f t="shared" si="0"/>
        <v>16051.319999999992</v>
      </c>
    </row>
    <row r="17" spans="1:4" ht="12.75" hidden="1">
      <c r="A17" s="9" t="s">
        <v>16</v>
      </c>
      <c r="B17" s="8">
        <v>84449.95</v>
      </c>
      <c r="C17" s="13">
        <v>75498.66</v>
      </c>
      <c r="D17" s="8">
        <f t="shared" si="0"/>
        <v>8951.289999999994</v>
      </c>
    </row>
    <row r="18" spans="1:4" ht="12.75" hidden="1">
      <c r="A18" s="9" t="s">
        <v>17</v>
      </c>
      <c r="B18" s="8">
        <v>84449.95</v>
      </c>
      <c r="C18" s="13">
        <v>79963.73</v>
      </c>
      <c r="D18" s="8">
        <f t="shared" si="0"/>
        <v>4486.220000000001</v>
      </c>
    </row>
    <row r="19" spans="1:4" ht="12.75" hidden="1">
      <c r="A19" s="9" t="s">
        <v>18</v>
      </c>
      <c r="B19" s="13">
        <v>84462.52</v>
      </c>
      <c r="C19" s="13">
        <v>74218.33</v>
      </c>
      <c r="D19" s="8">
        <f t="shared" si="0"/>
        <v>10244.190000000002</v>
      </c>
    </row>
    <row r="20" spans="1:4" ht="12.75" hidden="1">
      <c r="A20" s="9" t="s">
        <v>19</v>
      </c>
      <c r="B20" s="13">
        <v>92924.89</v>
      </c>
      <c r="C20" s="13">
        <v>88303.91</v>
      </c>
      <c r="D20" s="8">
        <f t="shared" si="0"/>
        <v>4620.979999999996</v>
      </c>
    </row>
    <row r="21" spans="1:4" ht="12.75" hidden="1">
      <c r="A21" s="9" t="s">
        <v>20</v>
      </c>
      <c r="B21" s="13">
        <v>92924.89</v>
      </c>
      <c r="C21" s="13">
        <v>114171.71</v>
      </c>
      <c r="D21" s="8">
        <f t="shared" si="0"/>
        <v>-21246.820000000007</v>
      </c>
    </row>
    <row r="22" spans="1:4" ht="12.75" hidden="1">
      <c r="A22" s="9" t="s">
        <v>21</v>
      </c>
      <c r="B22" s="13">
        <v>92924.89</v>
      </c>
      <c r="C22" s="13">
        <v>89558.68</v>
      </c>
      <c r="D22" s="13">
        <f t="shared" si="0"/>
        <v>3366.2100000000064</v>
      </c>
    </row>
    <row r="23" spans="1:4" ht="12.75" hidden="1">
      <c r="A23" s="9" t="s">
        <v>22</v>
      </c>
      <c r="B23" s="13">
        <v>92924.89</v>
      </c>
      <c r="C23" s="13">
        <v>80539.09</v>
      </c>
      <c r="D23" s="13">
        <f t="shared" si="0"/>
        <v>12385.800000000003</v>
      </c>
    </row>
    <row r="24" spans="1:4" ht="12.75" hidden="1">
      <c r="A24" s="9" t="s">
        <v>23</v>
      </c>
      <c r="B24" s="13">
        <v>92924.89</v>
      </c>
      <c r="C24" s="13">
        <v>88810.29</v>
      </c>
      <c r="D24" s="13">
        <f t="shared" si="0"/>
        <v>4114.600000000006</v>
      </c>
    </row>
    <row r="25" spans="1:4" ht="12.75">
      <c r="A25" s="7" t="s">
        <v>24</v>
      </c>
      <c r="B25" s="8">
        <f>SUM(B26:B37)</f>
        <v>662.0400000000001</v>
      </c>
      <c r="C25" s="8">
        <f>SUM(C26:C37)</f>
        <v>554.21</v>
      </c>
      <c r="D25" s="8">
        <f>SUM(D26:D37)</f>
        <v>107.82999999999997</v>
      </c>
    </row>
    <row r="26" spans="1:4" ht="12.75" hidden="1">
      <c r="A26" s="9" t="s">
        <v>25</v>
      </c>
      <c r="B26" s="8">
        <v>56.37</v>
      </c>
      <c r="C26" s="8">
        <v>24.97</v>
      </c>
      <c r="D26" s="8">
        <f aca="true" t="shared" si="1" ref="D26:D35">B26-C26</f>
        <v>31.4</v>
      </c>
    </row>
    <row r="27" spans="1:4" ht="12.75" hidden="1">
      <c r="A27" s="9" t="s">
        <v>13</v>
      </c>
      <c r="B27" s="8">
        <v>56.37</v>
      </c>
      <c r="C27" s="13">
        <v>48.83</v>
      </c>
      <c r="D27" s="8">
        <f t="shared" si="1"/>
        <v>7.539999999999999</v>
      </c>
    </row>
    <row r="28" spans="1:4" ht="12.75" hidden="1">
      <c r="A28" s="9" t="s">
        <v>14</v>
      </c>
      <c r="B28" s="8">
        <v>56.37</v>
      </c>
      <c r="C28" s="13">
        <v>30.16</v>
      </c>
      <c r="D28" s="8">
        <f t="shared" si="1"/>
        <v>26.209999999999997</v>
      </c>
    </row>
    <row r="29" spans="1:4" ht="12.75" hidden="1">
      <c r="A29" s="9" t="s">
        <v>15</v>
      </c>
      <c r="B29" s="8">
        <v>56.37</v>
      </c>
      <c r="C29" s="13">
        <v>60.05</v>
      </c>
      <c r="D29" s="8">
        <f t="shared" si="1"/>
        <v>-3.6799999999999997</v>
      </c>
    </row>
    <row r="30" spans="1:4" ht="12.75" hidden="1">
      <c r="A30" s="9" t="s">
        <v>16</v>
      </c>
      <c r="B30" s="8">
        <v>56.37</v>
      </c>
      <c r="C30" s="13">
        <v>72.42</v>
      </c>
      <c r="D30" s="8">
        <f t="shared" si="1"/>
        <v>-16.050000000000004</v>
      </c>
    </row>
    <row r="31" spans="1:4" ht="12.75" hidden="1">
      <c r="A31" s="9" t="s">
        <v>17</v>
      </c>
      <c r="B31" s="8">
        <v>56.37</v>
      </c>
      <c r="C31" s="13">
        <v>52.95</v>
      </c>
      <c r="D31" s="8">
        <f t="shared" si="1"/>
        <v>3.4199999999999946</v>
      </c>
    </row>
    <row r="32" spans="1:4" ht="12.75" hidden="1">
      <c r="A32" s="9" t="s">
        <v>18</v>
      </c>
      <c r="B32" s="8">
        <v>53.97</v>
      </c>
      <c r="C32" s="13">
        <v>34.04</v>
      </c>
      <c r="D32" s="8">
        <f t="shared" si="1"/>
        <v>19.93</v>
      </c>
    </row>
    <row r="33" spans="1:4" ht="12.75" hidden="1">
      <c r="A33" s="9" t="s">
        <v>19</v>
      </c>
      <c r="B33" s="8">
        <v>53.97</v>
      </c>
      <c r="C33" s="13">
        <v>42.46</v>
      </c>
      <c r="D33" s="8">
        <f t="shared" si="1"/>
        <v>11.509999999999998</v>
      </c>
    </row>
    <row r="34" spans="1:4" ht="12.75" hidden="1">
      <c r="A34" s="9" t="s">
        <v>20</v>
      </c>
      <c r="B34" s="8">
        <v>53.97</v>
      </c>
      <c r="C34" s="13">
        <v>78.92</v>
      </c>
      <c r="D34" s="8">
        <f t="shared" si="1"/>
        <v>-24.950000000000003</v>
      </c>
    </row>
    <row r="35" spans="1:4" ht="12.75" hidden="1">
      <c r="A35" s="9" t="s">
        <v>21</v>
      </c>
      <c r="B35" s="8">
        <v>53.97</v>
      </c>
      <c r="C35" s="13">
        <v>29.69</v>
      </c>
      <c r="D35" s="13">
        <f t="shared" si="1"/>
        <v>24.279999999999998</v>
      </c>
    </row>
    <row r="36" spans="1:4" ht="12.75" hidden="1">
      <c r="A36" s="9" t="s">
        <v>22</v>
      </c>
      <c r="B36" s="8">
        <v>53.97</v>
      </c>
      <c r="C36" s="13">
        <v>34.16</v>
      </c>
      <c r="D36" s="13">
        <f>B36-C36</f>
        <v>19.810000000000002</v>
      </c>
    </row>
    <row r="37" spans="1:4" ht="12.75" hidden="1">
      <c r="A37" s="9" t="s">
        <v>23</v>
      </c>
      <c r="B37" s="8">
        <v>53.97</v>
      </c>
      <c r="C37" s="13">
        <v>45.56</v>
      </c>
      <c r="D37" s="13">
        <f>B37-C37</f>
        <v>8.409999999999997</v>
      </c>
    </row>
    <row r="38" spans="1:4" ht="12.75" hidden="1">
      <c r="A38" s="7" t="s">
        <v>42</v>
      </c>
      <c r="B38" s="13">
        <f>B39+B40</f>
        <v>0</v>
      </c>
      <c r="C38" s="13">
        <f>C39+C40</f>
        <v>0</v>
      </c>
      <c r="D38" s="13">
        <f>SUM(D39:D40)</f>
        <v>0</v>
      </c>
    </row>
    <row r="39" spans="1:4" ht="12.75" hidden="1">
      <c r="A39" s="9" t="s">
        <v>22</v>
      </c>
      <c r="B39" s="13"/>
      <c r="C39" s="13"/>
      <c r="D39" s="13">
        <f>B39-C39</f>
        <v>0</v>
      </c>
    </row>
    <row r="40" spans="1:4" ht="12.75" hidden="1">
      <c r="A40" s="9" t="s">
        <v>23</v>
      </c>
      <c r="B40" s="13"/>
      <c r="C40" s="13"/>
      <c r="D40" s="13">
        <f>B40-C40</f>
        <v>0</v>
      </c>
    </row>
    <row r="41" spans="1:4" ht="12.75" hidden="1">
      <c r="A41" s="7" t="s">
        <v>148</v>
      </c>
      <c r="B41" s="13">
        <f>B42+B43+B44+B45+B46</f>
        <v>0</v>
      </c>
      <c r="C41" s="13">
        <f>C42+C43+C44+C45+C46</f>
        <v>0</v>
      </c>
      <c r="D41" s="13">
        <f>SUM(D42:D46)</f>
        <v>0</v>
      </c>
    </row>
    <row r="42" spans="1:4" ht="12.75" hidden="1">
      <c r="A42" s="9" t="s">
        <v>19</v>
      </c>
      <c r="B42" s="8"/>
      <c r="C42" s="8"/>
      <c r="D42" s="8">
        <f>B42-C42</f>
        <v>0</v>
      </c>
    </row>
    <row r="43" spans="1:4" ht="12.75" hidden="1">
      <c r="A43" s="9" t="s">
        <v>20</v>
      </c>
      <c r="B43" s="13"/>
      <c r="C43" s="13"/>
      <c r="D43" s="8">
        <f>B43-C43</f>
        <v>0</v>
      </c>
    </row>
    <row r="44" spans="1:4" ht="12.75" hidden="1">
      <c r="A44" s="9" t="s">
        <v>21</v>
      </c>
      <c r="B44" s="13"/>
      <c r="C44" s="13"/>
      <c r="D44" s="13">
        <f>B44-C44</f>
        <v>0</v>
      </c>
    </row>
    <row r="45" spans="1:4" ht="12.75" hidden="1">
      <c r="A45" s="9" t="s">
        <v>22</v>
      </c>
      <c r="B45" s="13"/>
      <c r="C45" s="13"/>
      <c r="D45" s="13">
        <f>B45-C45</f>
        <v>0</v>
      </c>
    </row>
    <row r="46" spans="1:4" ht="12.75" hidden="1">
      <c r="A46" s="9" t="s">
        <v>23</v>
      </c>
      <c r="B46" s="13"/>
      <c r="C46" s="13"/>
      <c r="D46" s="13">
        <f>B46-C46</f>
        <v>0</v>
      </c>
    </row>
    <row r="47" spans="1:4" ht="12.75">
      <c r="A47" s="9" t="s">
        <v>26</v>
      </c>
      <c r="B47" s="8">
        <f>B12+B25</f>
        <v>1056448.71</v>
      </c>
      <c r="C47" s="8">
        <f>C12+C25</f>
        <v>1015477.9999999999</v>
      </c>
      <c r="D47" s="8">
        <f>D12+D25</f>
        <v>40970.70999999999</v>
      </c>
    </row>
    <row r="49" spans="1:4" ht="12.75">
      <c r="A49" t="s">
        <v>27</v>
      </c>
      <c r="D49" s="12">
        <f>D47</f>
        <v>40970.70999999999</v>
      </c>
    </row>
    <row r="51" spans="1:4" ht="12.75">
      <c r="A51" s="11" t="s">
        <v>28</v>
      </c>
      <c r="D51" s="12">
        <f>D52+D53</f>
        <v>80311.92099999999</v>
      </c>
    </row>
    <row r="52" spans="1:4" ht="12.75" hidden="1">
      <c r="A52" s="11" t="s">
        <v>29</v>
      </c>
      <c r="D52" s="12">
        <f>(2.75*2*D4)+(1.1*5*D4)+(1.21*5*D4)</f>
        <v>68706.385</v>
      </c>
    </row>
    <row r="53" spans="1:4" ht="12.75" hidden="1">
      <c r="A53" s="11" t="s">
        <v>30</v>
      </c>
      <c r="D53" s="12">
        <f>(0.24*12*D4)</f>
        <v>11605.535999999998</v>
      </c>
    </row>
    <row r="54" spans="1:4" ht="12.75">
      <c r="A54" s="11" t="s">
        <v>31</v>
      </c>
      <c r="D54" s="12">
        <f>(0.66*2*D4)</f>
        <v>5319.204</v>
      </c>
    </row>
    <row r="55" spans="1:4" ht="12.75">
      <c r="A55" s="11" t="s">
        <v>81</v>
      </c>
      <c r="D55" s="12">
        <f>(0.5*2*D4)+(0.55*5*D4)+(0.6*5*D4)</f>
        <v>27200.475</v>
      </c>
    </row>
    <row r="56" spans="1:4" ht="12.75">
      <c r="A56" s="11" t="s">
        <v>90</v>
      </c>
      <c r="D56" s="12">
        <f>(2.2*7*D4)+(2.42*5*D4)</f>
        <v>110816.75</v>
      </c>
    </row>
    <row r="57" spans="1:4" ht="12.75" hidden="1">
      <c r="A57" s="11" t="s">
        <v>33</v>
      </c>
      <c r="D57" s="12">
        <v>0</v>
      </c>
    </row>
    <row r="58" spans="1:4" ht="12.75">
      <c r="A58" s="11" t="s">
        <v>80</v>
      </c>
      <c r="D58" s="12">
        <f>(0.72*2*D4)</f>
        <v>5802.767999999999</v>
      </c>
    </row>
    <row r="59" spans="1:4" ht="12.75">
      <c r="A59" s="11" t="s">
        <v>34</v>
      </c>
      <c r="D59" s="12">
        <f>(3.3*2*D4)+(1.2*5*D4)+(1.32*5*D4)</f>
        <v>77370.23999999999</v>
      </c>
    </row>
    <row r="60" spans="1:4" ht="12.75">
      <c r="A60" s="11" t="s">
        <v>35</v>
      </c>
      <c r="D60" s="12">
        <f>(2.2*2*D4)+(4.1*5*D4)+(4.51*5*D4)</f>
        <v>191209.26499999998</v>
      </c>
    </row>
    <row r="61" spans="1:4" ht="12.75">
      <c r="A61" s="11" t="s">
        <v>36</v>
      </c>
      <c r="D61" s="12">
        <f>(0.24*7*D4)+(0.26*5*D4)</f>
        <v>12008.506</v>
      </c>
    </row>
    <row r="62" spans="1:4" ht="12.75">
      <c r="A62" s="11" t="s">
        <v>82</v>
      </c>
      <c r="D62" s="12">
        <f>(0.77*2*D4)+(3.2*5*D4)+(3.52*5*D4)</f>
        <v>141603.658</v>
      </c>
    </row>
    <row r="63" spans="1:4" ht="12.75">
      <c r="A63" s="11" t="s">
        <v>37</v>
      </c>
      <c r="D63" s="12">
        <f>2.25*12*D5</f>
        <v>2916</v>
      </c>
    </row>
    <row r="64" spans="1:4" ht="12.75">
      <c r="A64" s="11" t="s">
        <v>38</v>
      </c>
      <c r="D64" s="12">
        <v>7349</v>
      </c>
    </row>
    <row r="65" spans="1:4" ht="12.75">
      <c r="A65" s="11" t="s">
        <v>39</v>
      </c>
      <c r="D65" s="12">
        <f>(1.76*2*D4)+(0.57*5*D4)+(0.64*5*D4)</f>
        <v>38564.229</v>
      </c>
    </row>
    <row r="66" spans="1:4" ht="12.75" hidden="1">
      <c r="A66" s="15" t="s">
        <v>65</v>
      </c>
      <c r="D66" s="12">
        <v>0</v>
      </c>
    </row>
    <row r="67" spans="1:4" ht="12.75">
      <c r="A67" s="11" t="s">
        <v>67</v>
      </c>
      <c r="D67" s="12">
        <f>(3.85*7*D4)+(3.5*0*D4)+(4.24*5*D4)</f>
        <v>194030.055</v>
      </c>
    </row>
    <row r="68" spans="1:4" ht="12.75">
      <c r="A68" s="11"/>
      <c r="D68" s="12"/>
    </row>
    <row r="69" spans="1:7" ht="12.75">
      <c r="A69" s="11" t="s">
        <v>40</v>
      </c>
      <c r="D69" s="12">
        <f>D51+D54+D56+D57+D59+D60+D61+D62+D63+D64+D65+D66+D67-D66+D55+D58</f>
        <v>894502.071</v>
      </c>
      <c r="G69" s="18"/>
    </row>
    <row r="70" spans="1:7" ht="12.75">
      <c r="A70" s="11"/>
      <c r="D70" s="12"/>
      <c r="G70" s="18"/>
    </row>
    <row r="71" spans="1:7" ht="12.75">
      <c r="A71" t="s">
        <v>69</v>
      </c>
      <c r="D71" s="12">
        <f>C47-D69</f>
        <v>120975.92899999989</v>
      </c>
      <c r="G71" s="18"/>
    </row>
    <row r="73" ht="12.75">
      <c r="D73" s="12"/>
    </row>
    <row r="74" ht="12.75" hidden="1"/>
    <row r="78" ht="12.75" hidden="1"/>
    <row r="79" ht="12.75" hidden="1"/>
    <row r="80" ht="12.75" hidden="1"/>
    <row r="85" ht="12.75" hidden="1"/>
    <row r="90" ht="12.75" hidden="1"/>
    <row r="91" ht="12.75" hidden="1"/>
    <row r="97" ht="12.75" hidden="1"/>
    <row r="98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34"/>
  <dimension ref="A2:G73"/>
  <sheetViews>
    <sheetView zoomScalePageLayoutView="0" workbookViewId="0" topLeftCell="A10">
      <selection activeCell="G64" sqref="G64:K75"/>
    </sheetView>
  </sheetViews>
  <sheetFormatPr defaultColWidth="9.140625" defaultRowHeight="12.75"/>
  <cols>
    <col min="1" max="1" width="15.421875" style="0" customWidth="1"/>
    <col min="2" max="2" width="16.8515625" style="0" customWidth="1"/>
    <col min="3" max="3" width="14.57421875" style="0" customWidth="1"/>
    <col min="4" max="4" width="15.140625" style="0" customWidth="1"/>
  </cols>
  <sheetData>
    <row r="2" spans="1:7" ht="12.75">
      <c r="A2" s="1" t="s">
        <v>0</v>
      </c>
      <c r="B2" s="2" t="s">
        <v>1</v>
      </c>
      <c r="C2" s="1" t="s">
        <v>54</v>
      </c>
      <c r="D2" s="1"/>
      <c r="E2" s="1" t="s">
        <v>2</v>
      </c>
      <c r="F2" s="3">
        <v>40</v>
      </c>
      <c r="G2">
        <v>2015</v>
      </c>
    </row>
    <row r="4" spans="1:5" ht="12.75">
      <c r="A4" t="s">
        <v>3</v>
      </c>
      <c r="D4" s="4">
        <v>4062.2</v>
      </c>
      <c r="E4" s="5" t="s">
        <v>41</v>
      </c>
    </row>
    <row r="5" spans="1:5" ht="12.75">
      <c r="A5" t="s">
        <v>4</v>
      </c>
      <c r="D5" s="4">
        <v>109</v>
      </c>
      <c r="E5" s="5"/>
    </row>
    <row r="6" spans="1:5" ht="12.75">
      <c r="A6" t="s">
        <v>5</v>
      </c>
      <c r="D6" s="4">
        <v>224</v>
      </c>
      <c r="E6" s="5" t="s">
        <v>6</v>
      </c>
    </row>
    <row r="7" spans="1:5" ht="12.75">
      <c r="A7" t="s">
        <v>7</v>
      </c>
      <c r="D7" s="4">
        <v>869.2</v>
      </c>
      <c r="E7" s="5" t="s">
        <v>41</v>
      </c>
    </row>
    <row r="8" spans="1:5" ht="12.75">
      <c r="A8" t="s">
        <v>8</v>
      </c>
      <c r="D8" s="4">
        <v>323</v>
      </c>
      <c r="E8" s="5" t="s">
        <v>41</v>
      </c>
    </row>
    <row r="11" spans="2:4" ht="12.75">
      <c r="B11" s="6" t="s">
        <v>9</v>
      </c>
      <c r="C11" s="6" t="s">
        <v>10</v>
      </c>
      <c r="D11" s="6" t="s">
        <v>11</v>
      </c>
    </row>
    <row r="12" spans="1:4" ht="12.75">
      <c r="A12" s="7" t="s">
        <v>12</v>
      </c>
      <c r="B12" s="8">
        <f>SUM(B13:B24)</f>
        <v>1064324.6400000001</v>
      </c>
      <c r="C12" s="8">
        <f>SUM(C13:C24)</f>
        <v>1060959.39</v>
      </c>
      <c r="D12" s="8">
        <f>SUM(D13:D24)</f>
        <v>3365.25</v>
      </c>
    </row>
    <row r="13" spans="1:4" ht="12.75" hidden="1">
      <c r="A13" s="9" t="s">
        <v>25</v>
      </c>
      <c r="B13" s="8">
        <v>85139.47</v>
      </c>
      <c r="C13" s="8">
        <v>68967.23</v>
      </c>
      <c r="D13" s="8">
        <f aca="true" t="shared" si="0" ref="D13:D24">B13-C13</f>
        <v>16172.240000000005</v>
      </c>
    </row>
    <row r="14" spans="1:4" ht="12.75" hidden="1">
      <c r="A14" s="9" t="s">
        <v>13</v>
      </c>
      <c r="B14" s="8">
        <v>85139.47</v>
      </c>
      <c r="C14" s="13">
        <v>72565.88</v>
      </c>
      <c r="D14" s="8">
        <f t="shared" si="0"/>
        <v>12573.589999999997</v>
      </c>
    </row>
    <row r="15" spans="1:4" ht="12.75" hidden="1">
      <c r="A15" s="9" t="s">
        <v>14</v>
      </c>
      <c r="B15" s="8">
        <v>85139.47</v>
      </c>
      <c r="C15" s="13">
        <v>139425.68</v>
      </c>
      <c r="D15" s="8">
        <f t="shared" si="0"/>
        <v>-54286.20999999999</v>
      </c>
    </row>
    <row r="16" spans="1:4" ht="12.75" hidden="1">
      <c r="A16" s="9" t="s">
        <v>15</v>
      </c>
      <c r="B16" s="8">
        <v>85139.47</v>
      </c>
      <c r="C16" s="13">
        <v>77693.28</v>
      </c>
      <c r="D16" s="8">
        <f t="shared" si="0"/>
        <v>7446.190000000002</v>
      </c>
    </row>
    <row r="17" spans="1:4" ht="12.75" hidden="1">
      <c r="A17" s="9" t="s">
        <v>16</v>
      </c>
      <c r="B17" s="8">
        <v>85139.47</v>
      </c>
      <c r="C17" s="13">
        <v>74509.16</v>
      </c>
      <c r="D17" s="8">
        <f t="shared" si="0"/>
        <v>10630.309999999998</v>
      </c>
    </row>
    <row r="18" spans="1:4" ht="12.75" hidden="1">
      <c r="A18" s="9" t="s">
        <v>17</v>
      </c>
      <c r="B18" s="8">
        <v>85139.47</v>
      </c>
      <c r="C18" s="13">
        <v>82082.98</v>
      </c>
      <c r="D18" s="8">
        <f t="shared" si="0"/>
        <v>3056.4900000000052</v>
      </c>
    </row>
    <row r="19" spans="1:4" ht="12.75" hidden="1">
      <c r="A19" s="9" t="s">
        <v>18</v>
      </c>
      <c r="B19" s="8">
        <v>85139.47</v>
      </c>
      <c r="C19" s="13">
        <v>79188.22</v>
      </c>
      <c r="D19" s="8">
        <f t="shared" si="0"/>
        <v>5951.25</v>
      </c>
    </row>
    <row r="20" spans="1:4" ht="12.75" hidden="1">
      <c r="A20" s="9" t="s">
        <v>19</v>
      </c>
      <c r="B20" s="13">
        <v>93669.67</v>
      </c>
      <c r="C20" s="13">
        <v>90248.58</v>
      </c>
      <c r="D20" s="8">
        <f t="shared" si="0"/>
        <v>3421.0899999999965</v>
      </c>
    </row>
    <row r="21" spans="1:4" ht="12.75" hidden="1">
      <c r="A21" s="9" t="s">
        <v>20</v>
      </c>
      <c r="B21" s="13">
        <v>93669.67</v>
      </c>
      <c r="C21" s="13">
        <v>91760.06</v>
      </c>
      <c r="D21" s="8">
        <f t="shared" si="0"/>
        <v>1909.6100000000006</v>
      </c>
    </row>
    <row r="22" spans="1:4" ht="12.75" hidden="1">
      <c r="A22" s="9" t="s">
        <v>21</v>
      </c>
      <c r="B22" s="13">
        <v>93669.67</v>
      </c>
      <c r="C22" s="13">
        <v>81069.86</v>
      </c>
      <c r="D22" s="13">
        <f t="shared" si="0"/>
        <v>12599.809999999998</v>
      </c>
    </row>
    <row r="23" spans="1:4" ht="12.75" hidden="1">
      <c r="A23" s="9" t="s">
        <v>22</v>
      </c>
      <c r="B23" s="13">
        <v>93669.67</v>
      </c>
      <c r="C23" s="13">
        <v>99716.05</v>
      </c>
      <c r="D23" s="13">
        <f t="shared" si="0"/>
        <v>-6046.380000000005</v>
      </c>
    </row>
    <row r="24" spans="1:4" ht="12.75" hidden="1">
      <c r="A24" s="9" t="s">
        <v>23</v>
      </c>
      <c r="B24" s="13">
        <v>93669.67</v>
      </c>
      <c r="C24" s="13">
        <v>103732.41</v>
      </c>
      <c r="D24" s="13">
        <f t="shared" si="0"/>
        <v>-10062.740000000005</v>
      </c>
    </row>
    <row r="25" spans="1:4" ht="12.75">
      <c r="A25" s="7" t="s">
        <v>24</v>
      </c>
      <c r="B25" s="8">
        <f>SUM(B26:B37)</f>
        <v>904.44</v>
      </c>
      <c r="C25" s="8">
        <f>SUM(C26:C37)</f>
        <v>792.47</v>
      </c>
      <c r="D25" s="8">
        <f>SUM(D26:D37)</f>
        <v>111.97000000000006</v>
      </c>
    </row>
    <row r="26" spans="1:4" ht="12.75" hidden="1">
      <c r="A26" s="9" t="s">
        <v>25</v>
      </c>
      <c r="B26" s="8">
        <v>75.37</v>
      </c>
      <c r="C26" s="8">
        <v>41.94</v>
      </c>
      <c r="D26" s="8">
        <f aca="true" t="shared" si="1" ref="D26:D37">B26-C26</f>
        <v>33.43000000000001</v>
      </c>
    </row>
    <row r="27" spans="1:4" ht="12.75" hidden="1">
      <c r="A27" s="9" t="s">
        <v>13</v>
      </c>
      <c r="B27" s="8">
        <v>75.37</v>
      </c>
      <c r="C27" s="13">
        <v>52.71</v>
      </c>
      <c r="D27" s="8">
        <f t="shared" si="1"/>
        <v>22.660000000000004</v>
      </c>
    </row>
    <row r="28" spans="1:4" ht="12.75" hidden="1">
      <c r="A28" s="9" t="s">
        <v>14</v>
      </c>
      <c r="B28" s="8">
        <v>75.37</v>
      </c>
      <c r="C28" s="13">
        <v>59.47</v>
      </c>
      <c r="D28" s="8">
        <f t="shared" si="1"/>
        <v>15.900000000000006</v>
      </c>
    </row>
    <row r="29" spans="1:4" ht="12.75" hidden="1">
      <c r="A29" s="9" t="s">
        <v>15</v>
      </c>
      <c r="B29" s="8">
        <v>75.37</v>
      </c>
      <c r="C29" s="13">
        <v>106.19</v>
      </c>
      <c r="D29" s="8">
        <f t="shared" si="1"/>
        <v>-30.819999999999993</v>
      </c>
    </row>
    <row r="30" spans="1:4" ht="12.75" hidden="1">
      <c r="A30" s="9" t="s">
        <v>16</v>
      </c>
      <c r="B30" s="8">
        <v>75.37</v>
      </c>
      <c r="C30" s="13">
        <v>46.76</v>
      </c>
      <c r="D30" s="8">
        <f t="shared" si="1"/>
        <v>28.610000000000007</v>
      </c>
    </row>
    <row r="31" spans="1:4" ht="12.75" hidden="1">
      <c r="A31" s="9" t="s">
        <v>17</v>
      </c>
      <c r="B31" s="8">
        <v>75.37</v>
      </c>
      <c r="C31" s="13">
        <v>70.01</v>
      </c>
      <c r="D31" s="8">
        <f t="shared" si="1"/>
        <v>5.359999999999999</v>
      </c>
    </row>
    <row r="32" spans="1:4" ht="12.75" hidden="1">
      <c r="A32" s="9" t="s">
        <v>18</v>
      </c>
      <c r="B32" s="8">
        <v>75.37</v>
      </c>
      <c r="C32" s="13">
        <v>67.06</v>
      </c>
      <c r="D32" s="8">
        <f t="shared" si="1"/>
        <v>8.310000000000002</v>
      </c>
    </row>
    <row r="33" spans="1:4" ht="12.75" hidden="1">
      <c r="A33" s="9" t="s">
        <v>19</v>
      </c>
      <c r="B33" s="8">
        <v>75.37</v>
      </c>
      <c r="C33" s="13">
        <v>48.67</v>
      </c>
      <c r="D33" s="8">
        <f t="shared" si="1"/>
        <v>26.700000000000003</v>
      </c>
    </row>
    <row r="34" spans="1:4" ht="12.75" hidden="1">
      <c r="A34" s="9" t="s">
        <v>20</v>
      </c>
      <c r="B34" s="8">
        <v>75.37</v>
      </c>
      <c r="C34" s="13">
        <v>58.69</v>
      </c>
      <c r="D34" s="8">
        <f t="shared" si="1"/>
        <v>16.680000000000007</v>
      </c>
    </row>
    <row r="35" spans="1:4" ht="12.75" hidden="1">
      <c r="A35" s="9" t="s">
        <v>21</v>
      </c>
      <c r="B35" s="8">
        <v>75.37</v>
      </c>
      <c r="C35" s="13">
        <v>57.25</v>
      </c>
      <c r="D35" s="13">
        <f t="shared" si="1"/>
        <v>18.120000000000005</v>
      </c>
    </row>
    <row r="36" spans="1:4" ht="12.75" hidden="1">
      <c r="A36" s="9" t="s">
        <v>22</v>
      </c>
      <c r="B36" s="8">
        <v>75.37</v>
      </c>
      <c r="C36" s="13">
        <v>120.96</v>
      </c>
      <c r="D36" s="13">
        <f t="shared" si="1"/>
        <v>-45.58999999999999</v>
      </c>
    </row>
    <row r="37" spans="1:4" ht="12.75" hidden="1">
      <c r="A37" s="9" t="s">
        <v>23</v>
      </c>
      <c r="B37" s="8">
        <v>75.37</v>
      </c>
      <c r="C37" s="13">
        <v>62.76</v>
      </c>
      <c r="D37" s="13">
        <f t="shared" si="1"/>
        <v>12.610000000000007</v>
      </c>
    </row>
    <row r="38" spans="1:4" ht="12.75" hidden="1">
      <c r="A38" s="7" t="s">
        <v>42</v>
      </c>
      <c r="B38" s="13">
        <f>B39+B40</f>
        <v>0</v>
      </c>
      <c r="C38" s="13">
        <f>C39+C40</f>
        <v>0</v>
      </c>
      <c r="D38" s="13">
        <f>SUM(D39:D40)</f>
        <v>0</v>
      </c>
    </row>
    <row r="39" spans="1:4" ht="12.75" hidden="1">
      <c r="A39" s="9" t="s">
        <v>16</v>
      </c>
      <c r="B39" s="13"/>
      <c r="C39" s="13"/>
      <c r="D39" s="13">
        <f>B39-C39</f>
        <v>0</v>
      </c>
    </row>
    <row r="40" spans="1:4" ht="12.75" hidden="1">
      <c r="A40" s="9" t="s">
        <v>17</v>
      </c>
      <c r="B40" s="13"/>
      <c r="C40" s="13"/>
      <c r="D40" s="13">
        <f>B40-C40</f>
        <v>0</v>
      </c>
    </row>
    <row r="41" spans="1:4" ht="12.75" hidden="1">
      <c r="A41" s="7" t="s">
        <v>148</v>
      </c>
      <c r="B41" s="13">
        <f>B42+B43+B44+B45+B46</f>
        <v>0</v>
      </c>
      <c r="C41" s="13">
        <f>C42+C43+C44+C45+C46</f>
        <v>282.11</v>
      </c>
      <c r="D41" s="13">
        <f>SUM(D42:D46)</f>
        <v>-282.11</v>
      </c>
    </row>
    <row r="42" spans="1:4" ht="12.75" hidden="1">
      <c r="A42" s="9" t="s">
        <v>17</v>
      </c>
      <c r="B42" s="8"/>
      <c r="C42" s="8"/>
      <c r="D42" s="8">
        <f>B42-C42</f>
        <v>0</v>
      </c>
    </row>
    <row r="43" spans="1:4" ht="12.75" hidden="1">
      <c r="A43" s="9" t="s">
        <v>18</v>
      </c>
      <c r="B43" s="13"/>
      <c r="C43" s="13"/>
      <c r="D43" s="8">
        <f>B43-C43</f>
        <v>0</v>
      </c>
    </row>
    <row r="44" spans="1:4" ht="12.75" hidden="1">
      <c r="A44" s="9" t="s">
        <v>19</v>
      </c>
      <c r="B44" s="13"/>
      <c r="C44" s="13"/>
      <c r="D44" s="13">
        <f>B44-C44</f>
        <v>0</v>
      </c>
    </row>
    <row r="45" spans="1:4" ht="12.75" hidden="1">
      <c r="A45" s="9" t="s">
        <v>20</v>
      </c>
      <c r="B45" s="13"/>
      <c r="C45" s="13"/>
      <c r="D45" s="13">
        <f>B45-C45</f>
        <v>0</v>
      </c>
    </row>
    <row r="46" spans="1:4" ht="12.75" hidden="1">
      <c r="A46" s="9" t="s">
        <v>21</v>
      </c>
      <c r="B46" s="13"/>
      <c r="C46" s="13">
        <v>282.11</v>
      </c>
      <c r="D46" s="13">
        <f>B46-C46</f>
        <v>-282.11</v>
      </c>
    </row>
    <row r="47" spans="1:4" ht="12.75">
      <c r="A47" s="9" t="s">
        <v>26</v>
      </c>
      <c r="B47" s="8">
        <f>B12+B25</f>
        <v>1065229.08</v>
      </c>
      <c r="C47" s="8">
        <f>C12+C25</f>
        <v>1061751.8599999999</v>
      </c>
      <c r="D47" s="8">
        <f>D12+D25</f>
        <v>3477.2200000000003</v>
      </c>
    </row>
    <row r="49" spans="1:4" ht="12.75">
      <c r="A49" t="s">
        <v>27</v>
      </c>
      <c r="D49" s="12">
        <f>D47</f>
        <v>3477.2200000000003</v>
      </c>
    </row>
    <row r="51" spans="1:4" ht="12.75">
      <c r="A51" s="11" t="s">
        <v>28</v>
      </c>
      <c r="D51" s="12">
        <f>D52+D53</f>
        <v>80959.646</v>
      </c>
    </row>
    <row r="52" spans="1:4" ht="12.75" hidden="1">
      <c r="A52" s="11" t="s">
        <v>29</v>
      </c>
      <c r="D52" s="12">
        <f>(2.75*2*D4)+(1.1*5*D4)+(1.21*5*D4)</f>
        <v>69260.51</v>
      </c>
    </row>
    <row r="53" spans="1:4" ht="12.75" hidden="1">
      <c r="A53" s="11" t="s">
        <v>30</v>
      </c>
      <c r="D53" s="12">
        <f>(0.24*12*D4)</f>
        <v>11699.135999999999</v>
      </c>
    </row>
    <row r="54" spans="1:4" ht="12.75">
      <c r="A54" s="11" t="s">
        <v>31</v>
      </c>
      <c r="D54" s="12">
        <f>(0.66*2*D4)</f>
        <v>5362.104</v>
      </c>
    </row>
    <row r="55" spans="1:4" ht="12.75">
      <c r="A55" s="11" t="s">
        <v>81</v>
      </c>
      <c r="D55" s="12">
        <f>(0.5*2*D4)+(0.55*5*D4)+(0.6*5*D4)</f>
        <v>27419.85</v>
      </c>
    </row>
    <row r="56" spans="1:4" ht="12.75">
      <c r="A56" s="11" t="s">
        <v>90</v>
      </c>
      <c r="D56" s="12">
        <f>(2.2*7*D4)+(2.42*5*D4)</f>
        <v>111710.5</v>
      </c>
    </row>
    <row r="57" spans="1:4" ht="12.75" hidden="1">
      <c r="A57" s="11" t="s">
        <v>33</v>
      </c>
      <c r="D57" s="12">
        <v>0</v>
      </c>
    </row>
    <row r="58" spans="1:4" ht="12.75">
      <c r="A58" s="11" t="s">
        <v>80</v>
      </c>
      <c r="D58" s="12">
        <f>(0.72*2*D4)</f>
        <v>5849.567999999999</v>
      </c>
    </row>
    <row r="59" spans="1:7" ht="12.75">
      <c r="A59" s="11" t="s">
        <v>34</v>
      </c>
      <c r="D59" s="12">
        <f>(3.3*2*D4)+(1.2*5*D4)+(1.32*5*D4)</f>
        <v>77994.23999999999</v>
      </c>
      <c r="G59" s="19"/>
    </row>
    <row r="60" spans="1:7" ht="12.75">
      <c r="A60" s="11" t="s">
        <v>35</v>
      </c>
      <c r="D60" s="12">
        <f>(2.2*2*D4)+(4.1*5*D4)+(4.51*5*D4)</f>
        <v>192751.38999999998</v>
      </c>
      <c r="G60" s="19"/>
    </row>
    <row r="61" spans="1:4" ht="12.75">
      <c r="A61" s="11" t="s">
        <v>36</v>
      </c>
      <c r="D61" s="12">
        <f>(0.24*7*D4)+(0.26*5*D4)</f>
        <v>12105.356</v>
      </c>
    </row>
    <row r="62" spans="1:4" ht="12.75">
      <c r="A62" s="11" t="s">
        <v>82</v>
      </c>
      <c r="D62" s="12">
        <f>(0.77*2*D4)+(3.2*5*D4)+(3.52*5*D4)</f>
        <v>142745.70799999998</v>
      </c>
    </row>
    <row r="63" spans="1:4" ht="12.75">
      <c r="A63" s="11" t="s">
        <v>37</v>
      </c>
      <c r="D63" s="12">
        <f>2.25*12*D5</f>
        <v>2943</v>
      </c>
    </row>
    <row r="64" spans="1:4" ht="12.75">
      <c r="A64" s="11" t="s">
        <v>38</v>
      </c>
      <c r="D64" s="12">
        <v>17170</v>
      </c>
    </row>
    <row r="65" spans="1:4" ht="12.75">
      <c r="A65" s="11" t="s">
        <v>39</v>
      </c>
      <c r="D65" s="12">
        <f>(1.76*2*D4)+(0.57*5*D4)+(0.64*5*D4)</f>
        <v>38875.254</v>
      </c>
    </row>
    <row r="66" spans="1:4" ht="12.75" hidden="1">
      <c r="A66" s="15" t="s">
        <v>65</v>
      </c>
      <c r="D66" s="12">
        <v>0</v>
      </c>
    </row>
    <row r="67" spans="1:4" ht="12.75">
      <c r="A67" s="11" t="s">
        <v>67</v>
      </c>
      <c r="D67" s="12">
        <f>(3.85*7*D4)+(3.5*0*D4)+(4.24*5*D4)</f>
        <v>195594.93</v>
      </c>
    </row>
    <row r="68" spans="1:7" ht="12.75">
      <c r="A68" s="11"/>
      <c r="D68" s="12"/>
      <c r="G68" s="18"/>
    </row>
    <row r="69" spans="1:7" ht="12.75">
      <c r="A69" s="11" t="s">
        <v>40</v>
      </c>
      <c r="D69" s="12">
        <f>D51+D54+D56+D57+D59+D60+D61+D62+D63+D64+D65+D66+D67-D66+D55+D58</f>
        <v>911481.546</v>
      </c>
      <c r="G69" s="18"/>
    </row>
    <row r="70" spans="1:7" ht="12.75">
      <c r="A70" s="11"/>
      <c r="D70" s="12"/>
      <c r="G70" s="18"/>
    </row>
    <row r="71" spans="1:7" ht="12.75">
      <c r="A71" t="s">
        <v>69</v>
      </c>
      <c r="D71" s="12">
        <f>C47-D69</f>
        <v>150270.3139999999</v>
      </c>
      <c r="G71" s="18"/>
    </row>
    <row r="72" ht="12.75">
      <c r="G72" s="18"/>
    </row>
    <row r="73" ht="12.75">
      <c r="D7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35"/>
  <dimension ref="A2:G83"/>
  <sheetViews>
    <sheetView zoomScalePageLayoutView="0" workbookViewId="0" topLeftCell="A11">
      <selection activeCell="G64" sqref="G64:L82"/>
    </sheetView>
  </sheetViews>
  <sheetFormatPr defaultColWidth="9.140625" defaultRowHeight="12.75"/>
  <cols>
    <col min="1" max="1" width="15.28125" style="0" customWidth="1"/>
    <col min="2" max="2" width="15.140625" style="0" customWidth="1"/>
    <col min="3" max="3" width="15.28125" style="0" customWidth="1"/>
    <col min="4" max="4" width="14.140625" style="0" customWidth="1"/>
  </cols>
  <sheetData>
    <row r="2" spans="1:7" ht="12.75">
      <c r="A2" s="1" t="s">
        <v>0</v>
      </c>
      <c r="B2" s="2" t="s">
        <v>1</v>
      </c>
      <c r="C2" s="1" t="s">
        <v>54</v>
      </c>
      <c r="D2" s="1"/>
      <c r="E2" s="1" t="s">
        <v>2</v>
      </c>
      <c r="F2" s="3">
        <v>43</v>
      </c>
      <c r="G2">
        <v>2015</v>
      </c>
    </row>
    <row r="3" ht="12.75" hidden="1"/>
    <row r="4" spans="1:5" ht="12.75">
      <c r="A4" t="s">
        <v>3</v>
      </c>
      <c r="D4" s="4">
        <v>8159.55</v>
      </c>
      <c r="E4" s="5" t="s">
        <v>41</v>
      </c>
    </row>
    <row r="5" spans="1:5" ht="12.75">
      <c r="A5" t="s">
        <v>4</v>
      </c>
      <c r="D5" s="4">
        <v>147</v>
      </c>
      <c r="E5" s="5"/>
    </row>
    <row r="6" spans="1:5" ht="12.75">
      <c r="A6" t="s">
        <v>5</v>
      </c>
      <c r="D6" s="4">
        <v>422</v>
      </c>
      <c r="E6" s="5" t="s">
        <v>6</v>
      </c>
    </row>
    <row r="7" spans="1:5" ht="12.75">
      <c r="A7" t="s">
        <v>7</v>
      </c>
      <c r="D7" s="4">
        <v>1395.9</v>
      </c>
      <c r="E7" s="5" t="s">
        <v>41</v>
      </c>
    </row>
    <row r="8" spans="1:5" ht="12.75">
      <c r="A8" t="s">
        <v>8</v>
      </c>
      <c r="D8" s="4">
        <v>830</v>
      </c>
      <c r="E8" s="5" t="s">
        <v>41</v>
      </c>
    </row>
    <row r="9" ht="12.75" hidden="1"/>
    <row r="10" ht="12.75" hidden="1"/>
    <row r="11" spans="2:4" ht="12.75">
      <c r="B11" s="6" t="s">
        <v>9</v>
      </c>
      <c r="C11" s="6" t="s">
        <v>10</v>
      </c>
      <c r="D11" s="6" t="s">
        <v>11</v>
      </c>
    </row>
    <row r="12" spans="1:4" ht="12.75">
      <c r="A12" s="7" t="s">
        <v>12</v>
      </c>
      <c r="B12" s="8">
        <f>SUM(B13:B24)</f>
        <v>2129831.1599999997</v>
      </c>
      <c r="C12" s="8">
        <f>SUM(C13:C24)</f>
        <v>2126464.12</v>
      </c>
      <c r="D12" s="8">
        <f>SUM(D13:D24)</f>
        <v>3367.0400000000955</v>
      </c>
    </row>
    <row r="13" spans="1:4" ht="12.75" hidden="1">
      <c r="A13" s="9" t="s">
        <v>25</v>
      </c>
      <c r="B13" s="8">
        <v>170979.15</v>
      </c>
      <c r="C13" s="8">
        <v>147307.26</v>
      </c>
      <c r="D13" s="8">
        <f aca="true" t="shared" si="0" ref="D13:D24">B13-C13</f>
        <v>23671.889999999985</v>
      </c>
    </row>
    <row r="14" spans="1:4" ht="12.75" hidden="1">
      <c r="A14" s="9" t="s">
        <v>13</v>
      </c>
      <c r="B14" s="8">
        <f>170995.92-7764.31</f>
        <v>163231.61000000002</v>
      </c>
      <c r="C14" s="13">
        <v>142787</v>
      </c>
      <c r="D14" s="8">
        <f t="shared" si="0"/>
        <v>20444.610000000015</v>
      </c>
    </row>
    <row r="15" spans="1:4" ht="12.75" hidden="1">
      <c r="A15" s="9" t="s">
        <v>14</v>
      </c>
      <c r="B15" s="13">
        <v>170995.92</v>
      </c>
      <c r="C15" s="13">
        <v>242299.7</v>
      </c>
      <c r="D15" s="8">
        <f t="shared" si="0"/>
        <v>-71303.78</v>
      </c>
    </row>
    <row r="16" spans="1:4" ht="12.75" hidden="1">
      <c r="A16" s="9" t="s">
        <v>15</v>
      </c>
      <c r="B16" s="13">
        <v>170995.92</v>
      </c>
      <c r="C16" s="13">
        <v>168234.08</v>
      </c>
      <c r="D16" s="8">
        <f t="shared" si="0"/>
        <v>2761.8400000000256</v>
      </c>
    </row>
    <row r="17" spans="1:4" ht="12.75" hidden="1">
      <c r="A17" s="9" t="s">
        <v>16</v>
      </c>
      <c r="B17" s="13">
        <v>170995.92</v>
      </c>
      <c r="C17" s="13">
        <v>150723.93</v>
      </c>
      <c r="D17" s="8">
        <f t="shared" si="0"/>
        <v>20271.99000000002</v>
      </c>
    </row>
    <row r="18" spans="1:4" ht="12.75" hidden="1">
      <c r="A18" s="9" t="s">
        <v>17</v>
      </c>
      <c r="B18" s="13">
        <v>170995.92</v>
      </c>
      <c r="C18" s="13">
        <v>164344.11</v>
      </c>
      <c r="D18" s="8">
        <f t="shared" si="0"/>
        <v>6651.810000000027</v>
      </c>
    </row>
    <row r="19" spans="1:4" ht="12.75" hidden="1">
      <c r="A19" s="9" t="s">
        <v>18</v>
      </c>
      <c r="B19" s="13">
        <v>170995.92</v>
      </c>
      <c r="C19" s="13">
        <v>168113.16</v>
      </c>
      <c r="D19" s="8">
        <f t="shared" si="0"/>
        <v>2882.7600000000093</v>
      </c>
    </row>
    <row r="20" spans="1:4" ht="12.75" hidden="1">
      <c r="A20" s="9" t="s">
        <v>19</v>
      </c>
      <c r="B20" s="13">
        <v>188128.16</v>
      </c>
      <c r="C20" s="13">
        <v>190104.23</v>
      </c>
      <c r="D20" s="8">
        <f t="shared" si="0"/>
        <v>-1976.070000000007</v>
      </c>
    </row>
    <row r="21" spans="1:4" ht="12.75" hidden="1">
      <c r="A21" s="9" t="s">
        <v>20</v>
      </c>
      <c r="B21" s="13">
        <v>188128.16</v>
      </c>
      <c r="C21" s="13">
        <v>186172.59</v>
      </c>
      <c r="D21" s="8">
        <f t="shared" si="0"/>
        <v>1955.570000000007</v>
      </c>
    </row>
    <row r="22" spans="1:4" ht="12.75" hidden="1">
      <c r="A22" s="9" t="s">
        <v>21</v>
      </c>
      <c r="B22" s="13">
        <v>188128.16</v>
      </c>
      <c r="C22" s="13">
        <v>183703.37</v>
      </c>
      <c r="D22" s="13">
        <f t="shared" si="0"/>
        <v>4424.790000000008</v>
      </c>
    </row>
    <row r="23" spans="1:4" ht="12.75" hidden="1">
      <c r="A23" s="9" t="s">
        <v>22</v>
      </c>
      <c r="B23" s="13">
        <v>188128.16</v>
      </c>
      <c r="C23" s="13">
        <v>189308.97</v>
      </c>
      <c r="D23" s="13">
        <f t="shared" si="0"/>
        <v>-1180.8099999999977</v>
      </c>
    </row>
    <row r="24" spans="1:4" ht="12.75" hidden="1">
      <c r="A24" s="9" t="s">
        <v>23</v>
      </c>
      <c r="B24" s="13">
        <v>188128.16</v>
      </c>
      <c r="C24" s="13">
        <v>193365.72</v>
      </c>
      <c r="D24" s="13">
        <f t="shared" si="0"/>
        <v>-5237.559999999998</v>
      </c>
    </row>
    <row r="25" spans="1:4" ht="12.75">
      <c r="A25" s="7" t="s">
        <v>24</v>
      </c>
      <c r="B25" s="8">
        <f>SUM(B26:B37)</f>
        <v>636.72</v>
      </c>
      <c r="C25" s="8">
        <f>SUM(C26:C37)</f>
        <v>650.9</v>
      </c>
      <c r="D25" s="8">
        <f>SUM(D26:D37)</f>
        <v>-14.179999999999957</v>
      </c>
    </row>
    <row r="26" spans="1:4" ht="12.75" hidden="1">
      <c r="A26" s="9" t="s">
        <v>25</v>
      </c>
      <c r="B26" s="8">
        <v>53.06</v>
      </c>
      <c r="C26" s="8">
        <v>32.66</v>
      </c>
      <c r="D26" s="8">
        <f aca="true" t="shared" si="1" ref="D26:D37">B26-C26</f>
        <v>20.400000000000006</v>
      </c>
    </row>
    <row r="27" spans="1:4" ht="12.75" hidden="1">
      <c r="A27" s="9" t="s">
        <v>13</v>
      </c>
      <c r="B27" s="8">
        <v>53.06</v>
      </c>
      <c r="C27" s="13">
        <v>45.25</v>
      </c>
      <c r="D27" s="8">
        <f t="shared" si="1"/>
        <v>7.810000000000002</v>
      </c>
    </row>
    <row r="28" spans="1:4" ht="12.75" hidden="1">
      <c r="A28" s="9" t="s">
        <v>14</v>
      </c>
      <c r="B28" s="8">
        <v>53.06</v>
      </c>
      <c r="C28" s="13">
        <v>68.57</v>
      </c>
      <c r="D28" s="8">
        <f t="shared" si="1"/>
        <v>-15.509999999999991</v>
      </c>
    </row>
    <row r="29" spans="1:4" ht="12.75" hidden="1">
      <c r="A29" s="9" t="s">
        <v>15</v>
      </c>
      <c r="B29" s="8">
        <v>53.06</v>
      </c>
      <c r="C29" s="13">
        <v>66.52</v>
      </c>
      <c r="D29" s="8">
        <f t="shared" si="1"/>
        <v>-13.459999999999994</v>
      </c>
    </row>
    <row r="30" spans="1:4" ht="12.75" hidden="1">
      <c r="A30" s="9" t="s">
        <v>16</v>
      </c>
      <c r="B30" s="8">
        <v>53.06</v>
      </c>
      <c r="C30" s="13">
        <v>41.13</v>
      </c>
      <c r="D30" s="8">
        <f t="shared" si="1"/>
        <v>11.93</v>
      </c>
    </row>
    <row r="31" spans="1:4" ht="12.75" hidden="1">
      <c r="A31" s="9" t="s">
        <v>17</v>
      </c>
      <c r="B31" s="8">
        <v>53.06</v>
      </c>
      <c r="C31" s="13">
        <v>51.91</v>
      </c>
      <c r="D31" s="8">
        <f t="shared" si="1"/>
        <v>1.1500000000000057</v>
      </c>
    </row>
    <row r="32" spans="1:4" ht="12.75" hidden="1">
      <c r="A32" s="9" t="s">
        <v>18</v>
      </c>
      <c r="B32" s="8">
        <v>53.06</v>
      </c>
      <c r="C32" s="13">
        <v>52.88</v>
      </c>
      <c r="D32" s="8">
        <f t="shared" si="1"/>
        <v>0.17999999999999972</v>
      </c>
    </row>
    <row r="33" spans="1:4" ht="12.75" hidden="1">
      <c r="A33" s="9" t="s">
        <v>19</v>
      </c>
      <c r="B33" s="8">
        <v>53.06</v>
      </c>
      <c r="C33" s="13">
        <v>55.41</v>
      </c>
      <c r="D33" s="8">
        <f t="shared" si="1"/>
        <v>-2.3499999999999943</v>
      </c>
    </row>
    <row r="34" spans="1:4" ht="12.75" hidden="1">
      <c r="A34" s="9" t="s">
        <v>20</v>
      </c>
      <c r="B34" s="8">
        <v>53.06</v>
      </c>
      <c r="C34" s="13">
        <v>64.6</v>
      </c>
      <c r="D34" s="8">
        <f t="shared" si="1"/>
        <v>-11.539999999999992</v>
      </c>
    </row>
    <row r="35" spans="1:4" ht="12.75" hidden="1">
      <c r="A35" s="9" t="s">
        <v>21</v>
      </c>
      <c r="B35" s="8">
        <v>53.06</v>
      </c>
      <c r="C35" s="13">
        <v>73.89</v>
      </c>
      <c r="D35" s="13">
        <f t="shared" si="1"/>
        <v>-20.83</v>
      </c>
    </row>
    <row r="36" spans="1:4" ht="12.75" hidden="1">
      <c r="A36" s="9" t="s">
        <v>22</v>
      </c>
      <c r="B36" s="8">
        <v>53.06</v>
      </c>
      <c r="C36" s="13">
        <v>49.09</v>
      </c>
      <c r="D36" s="13">
        <f t="shared" si="1"/>
        <v>3.969999999999999</v>
      </c>
    </row>
    <row r="37" spans="1:4" ht="12.75" hidden="1">
      <c r="A37" s="9" t="s">
        <v>23</v>
      </c>
      <c r="B37" s="8">
        <v>53.06</v>
      </c>
      <c r="C37" s="13">
        <v>48.99</v>
      </c>
      <c r="D37" s="13">
        <f t="shared" si="1"/>
        <v>4.07</v>
      </c>
    </row>
    <row r="38" spans="1:4" ht="12.75" hidden="1">
      <c r="A38" s="7" t="s">
        <v>148</v>
      </c>
      <c r="B38" s="13">
        <f>B39+B40</f>
        <v>0</v>
      </c>
      <c r="C38" s="13">
        <f>C39+C40</f>
        <v>0</v>
      </c>
      <c r="D38" s="13">
        <f>SUM(D39:D40)</f>
        <v>0</v>
      </c>
    </row>
    <row r="39" spans="1:4" ht="12.75" hidden="1">
      <c r="A39" s="9" t="s">
        <v>20</v>
      </c>
      <c r="B39" s="13"/>
      <c r="C39" s="13"/>
      <c r="D39" s="13">
        <f>B39-C39</f>
        <v>0</v>
      </c>
    </row>
    <row r="40" spans="1:4" ht="12.75" hidden="1">
      <c r="A40" s="9" t="s">
        <v>21</v>
      </c>
      <c r="B40" s="13"/>
      <c r="C40" s="13"/>
      <c r="D40" s="13">
        <f>B40-C40</f>
        <v>0</v>
      </c>
    </row>
    <row r="41" spans="1:4" ht="12.75" hidden="1">
      <c r="A41" s="7" t="s">
        <v>43</v>
      </c>
      <c r="B41" s="13">
        <f>B42+B43+B44+B45+B46</f>
        <v>0</v>
      </c>
      <c r="C41" s="13">
        <f>C42+C43+C44+C45+C46</f>
        <v>0</v>
      </c>
      <c r="D41" s="13">
        <f>SUM(D42:D46)</f>
        <v>0</v>
      </c>
    </row>
    <row r="42" spans="1:4" ht="12.75" hidden="1">
      <c r="A42" s="9" t="s">
        <v>19</v>
      </c>
      <c r="B42" s="8"/>
      <c r="C42" s="8"/>
      <c r="D42" s="8">
        <f>B42-C42</f>
        <v>0</v>
      </c>
    </row>
    <row r="43" spans="1:4" ht="12.75" hidden="1">
      <c r="A43" s="9" t="s">
        <v>20</v>
      </c>
      <c r="B43" s="13"/>
      <c r="C43" s="13"/>
      <c r="D43" s="8">
        <f>B43-C43</f>
        <v>0</v>
      </c>
    </row>
    <row r="44" spans="1:4" ht="12.75" hidden="1">
      <c r="A44" s="9" t="s">
        <v>21</v>
      </c>
      <c r="B44" s="13"/>
      <c r="C44" s="13"/>
      <c r="D44" s="13">
        <f>B44-C44</f>
        <v>0</v>
      </c>
    </row>
    <row r="45" spans="1:4" ht="12.75" hidden="1">
      <c r="A45" s="9" t="s">
        <v>22</v>
      </c>
      <c r="B45" s="13"/>
      <c r="C45" s="13"/>
      <c r="D45" s="13">
        <f>B45-C45</f>
        <v>0</v>
      </c>
    </row>
    <row r="46" spans="1:4" ht="12.75" hidden="1">
      <c r="A46" s="9" t="s">
        <v>23</v>
      </c>
      <c r="B46" s="13"/>
      <c r="C46" s="13"/>
      <c r="D46" s="13">
        <f>B46-C46</f>
        <v>0</v>
      </c>
    </row>
    <row r="47" spans="1:4" ht="12.75">
      <c r="A47" s="9" t="s">
        <v>26</v>
      </c>
      <c r="B47" s="8">
        <f>B12+B25</f>
        <v>2130467.88</v>
      </c>
      <c r="C47" s="8">
        <f>C12+C25</f>
        <v>2127115.02</v>
      </c>
      <c r="D47" s="8">
        <f>D12+D25</f>
        <v>3352.8600000000956</v>
      </c>
    </row>
    <row r="49" spans="1:4" ht="12.75">
      <c r="A49" t="s">
        <v>27</v>
      </c>
      <c r="D49" s="12">
        <f>D47</f>
        <v>3352.8600000000956</v>
      </c>
    </row>
    <row r="51" spans="1:4" ht="12.75">
      <c r="A51" s="11" t="s">
        <v>28</v>
      </c>
      <c r="D51" s="12">
        <f>D52+D53</f>
        <v>162619.83150000003</v>
      </c>
    </row>
    <row r="52" spans="1:4" ht="12.75" hidden="1">
      <c r="A52" s="11" t="s">
        <v>29</v>
      </c>
      <c r="D52" s="12">
        <f>(2.75*2*D4)+(1.1*5*D4)+(1.21*5*D4)</f>
        <v>139120.3275</v>
      </c>
    </row>
    <row r="53" spans="1:4" ht="12.75" hidden="1">
      <c r="A53" s="11" t="s">
        <v>30</v>
      </c>
      <c r="D53" s="12">
        <f>(0.24*12*D4)</f>
        <v>23499.504</v>
      </c>
    </row>
    <row r="54" spans="1:4" ht="12.75">
      <c r="A54" s="11" t="s">
        <v>31</v>
      </c>
      <c r="D54" s="12">
        <f>(0.66*2*D4)</f>
        <v>10770.606000000002</v>
      </c>
    </row>
    <row r="55" spans="1:4" ht="12.75">
      <c r="A55" s="11" t="s">
        <v>81</v>
      </c>
      <c r="D55" s="12">
        <f>(0.5*2*D4)+(0.55*5*D4)+(0.6*5*D4)</f>
        <v>55076.9625</v>
      </c>
    </row>
    <row r="56" spans="1:4" ht="12.75">
      <c r="A56" s="11" t="s">
        <v>90</v>
      </c>
      <c r="D56" s="12">
        <f>(2.2*7*D4)+(2.42*5*D4)</f>
        <v>224387.625</v>
      </c>
    </row>
    <row r="57" spans="1:4" ht="12.75" hidden="1">
      <c r="A57" s="11" t="s">
        <v>33</v>
      </c>
      <c r="D57" s="12">
        <v>0</v>
      </c>
    </row>
    <row r="58" spans="1:4" ht="12.75">
      <c r="A58" s="11" t="s">
        <v>80</v>
      </c>
      <c r="D58" s="12">
        <f>(0.72*2*D4)</f>
        <v>11749.752</v>
      </c>
    </row>
    <row r="59" spans="1:7" ht="12.75">
      <c r="A59" s="11" t="s">
        <v>34</v>
      </c>
      <c r="D59" s="12">
        <f>(3.3*2*D4)+(1.2*5*D4)+(1.32*5*D4)</f>
        <v>156663.36000000002</v>
      </c>
      <c r="G59" s="19"/>
    </row>
    <row r="60" spans="1:7" ht="12.75">
      <c r="A60" s="11" t="s">
        <v>35</v>
      </c>
      <c r="D60" s="12">
        <f>(2.2*2*D4)+(4.1*5*D4)+(4.51*5*D4)</f>
        <v>387170.64749999996</v>
      </c>
      <c r="G60" s="19"/>
    </row>
    <row r="61" spans="1:4" ht="12.75">
      <c r="A61" s="11" t="s">
        <v>36</v>
      </c>
      <c r="D61" s="12">
        <f>(0.24*7*D4)+(0.26*5*D4)</f>
        <v>24315.459000000003</v>
      </c>
    </row>
    <row r="62" spans="1:4" ht="12.75">
      <c r="A62" s="11" t="s">
        <v>82</v>
      </c>
      <c r="D62" s="12">
        <f>(0.77*2*D4)+(3.2*5*D4)+(3.52*5*D4)</f>
        <v>286726.58700000006</v>
      </c>
    </row>
    <row r="63" spans="1:4" ht="12.75">
      <c r="A63" s="11" t="s">
        <v>37</v>
      </c>
      <c r="D63" s="12">
        <f>2.25*12*D5</f>
        <v>3969</v>
      </c>
    </row>
    <row r="64" spans="1:4" ht="12.75">
      <c r="A64" s="11" t="s">
        <v>38</v>
      </c>
      <c r="D64" s="12">
        <v>232136</v>
      </c>
    </row>
    <row r="65" spans="1:4" ht="12.75">
      <c r="A65" s="11" t="s">
        <v>39</v>
      </c>
      <c r="D65" s="12">
        <f>(1.76*2*D4)+(0.57*5*D4)+(0.64*5*D4)</f>
        <v>78086.8935</v>
      </c>
    </row>
    <row r="66" spans="1:7" ht="12.75" hidden="1">
      <c r="A66" s="15" t="s">
        <v>65</v>
      </c>
      <c r="D66" s="12">
        <v>0</v>
      </c>
      <c r="G66" s="17"/>
    </row>
    <row r="67" spans="1:7" ht="12.75">
      <c r="A67" s="11" t="s">
        <v>67</v>
      </c>
      <c r="D67" s="12">
        <f>(3.85*7*D4)+(3.5*0*D4)+(4.24*5*D4)</f>
        <v>392882.3325</v>
      </c>
      <c r="G67" s="18"/>
    </row>
    <row r="68" spans="1:7" ht="12.75">
      <c r="A68" s="11"/>
      <c r="D68" s="12"/>
      <c r="G68" s="18"/>
    </row>
    <row r="69" spans="1:7" ht="12.75">
      <c r="A69" s="11" t="s">
        <v>40</v>
      </c>
      <c r="D69" s="12">
        <f>D51+D54+D56+D57+D59+D60+D61+D62+D63+D64+D65+D66+D67-D66+D55+D58</f>
        <v>2026555.0565</v>
      </c>
      <c r="G69" s="18"/>
    </row>
    <row r="70" spans="1:7" ht="12.75">
      <c r="A70" s="11"/>
      <c r="D70" s="12"/>
      <c r="G70" s="18"/>
    </row>
    <row r="71" spans="1:7" ht="12.75">
      <c r="A71" t="s">
        <v>69</v>
      </c>
      <c r="D71" s="12">
        <f>C47-D69</f>
        <v>100559.96350000007</v>
      </c>
      <c r="G71" s="18"/>
    </row>
    <row r="72" ht="12.75">
      <c r="G72" s="18"/>
    </row>
    <row r="73" spans="4:7" ht="12.75">
      <c r="D73" s="12"/>
      <c r="G73" s="18"/>
    </row>
    <row r="74" ht="12.75">
      <c r="G74" s="18"/>
    </row>
    <row r="75" ht="12.75">
      <c r="G75" s="18"/>
    </row>
    <row r="76" ht="12.75">
      <c r="G76" s="18"/>
    </row>
    <row r="77" ht="12.75">
      <c r="G77" s="18"/>
    </row>
    <row r="78" ht="12.75">
      <c r="G78" s="18"/>
    </row>
    <row r="79" ht="12.75">
      <c r="G79" s="18"/>
    </row>
    <row r="80" ht="12.75">
      <c r="G80" s="18"/>
    </row>
    <row r="83" ht="12.75">
      <c r="A83" s="11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38"/>
  <dimension ref="A1:G80"/>
  <sheetViews>
    <sheetView zoomScalePageLayoutView="0" workbookViewId="0" topLeftCell="A1">
      <selection activeCell="G71" sqref="G71:J80"/>
    </sheetView>
  </sheetViews>
  <sheetFormatPr defaultColWidth="9.140625" defaultRowHeight="12.75"/>
  <cols>
    <col min="1" max="1" width="15.7109375" style="0" customWidth="1"/>
    <col min="2" max="2" width="14.28125" style="0" customWidth="1"/>
    <col min="3" max="3" width="13.7109375" style="0" customWidth="1"/>
    <col min="4" max="4" width="13.57421875" style="0" customWidth="1"/>
  </cols>
  <sheetData>
    <row r="1" spans="1:6" ht="24.75" customHeight="1">
      <c r="A1" s="27"/>
      <c r="B1" s="27"/>
      <c r="C1" s="27"/>
      <c r="D1" s="27"/>
      <c r="E1" s="27"/>
      <c r="F1" s="27"/>
    </row>
    <row r="3" spans="1:7" ht="12.75">
      <c r="A3" s="1" t="s">
        <v>0</v>
      </c>
      <c r="B3" s="2" t="s">
        <v>1</v>
      </c>
      <c r="C3" s="1" t="s">
        <v>55</v>
      </c>
      <c r="D3" s="1"/>
      <c r="E3" s="1" t="s">
        <v>2</v>
      </c>
      <c r="F3" s="3">
        <v>11</v>
      </c>
      <c r="G3">
        <v>2015</v>
      </c>
    </row>
    <row r="5" spans="1:5" ht="12.75">
      <c r="A5" t="s">
        <v>3</v>
      </c>
      <c r="D5" s="4">
        <v>1250.8</v>
      </c>
      <c r="E5" s="5" t="s">
        <v>41</v>
      </c>
    </row>
    <row r="6" spans="1:5" ht="12.75">
      <c r="A6" t="s">
        <v>4</v>
      </c>
      <c r="D6" s="4">
        <v>27</v>
      </c>
      <c r="E6" s="5"/>
    </row>
    <row r="7" spans="1:5" ht="12.75">
      <c r="A7" t="s">
        <v>5</v>
      </c>
      <c r="D7" s="4">
        <v>41</v>
      </c>
      <c r="E7" s="5" t="s">
        <v>6</v>
      </c>
    </row>
    <row r="8" spans="1:5" ht="12.75">
      <c r="A8" t="s">
        <v>7</v>
      </c>
      <c r="D8" s="4">
        <v>128.4</v>
      </c>
      <c r="E8" s="5" t="s">
        <v>41</v>
      </c>
    </row>
    <row r="9" spans="1:5" ht="12.75">
      <c r="A9" t="s">
        <v>8</v>
      </c>
      <c r="D9" s="4">
        <v>2469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285157.4</v>
      </c>
      <c r="C13" s="8">
        <f>SUM(C14:C25)</f>
        <v>291432.14999999997</v>
      </c>
      <c r="D13" s="8">
        <f>SUM(D14:D25)</f>
        <v>-6274.750000000007</v>
      </c>
    </row>
    <row r="14" spans="1:4" ht="12.75" hidden="1">
      <c r="A14" s="9" t="s">
        <v>25</v>
      </c>
      <c r="B14" s="8">
        <v>22814.6</v>
      </c>
      <c r="C14" s="8">
        <v>21083.68</v>
      </c>
      <c r="D14" s="8">
        <f aca="true" t="shared" si="0" ref="D14:D25">B14-C14</f>
        <v>1730.9199999999983</v>
      </c>
    </row>
    <row r="15" spans="1:4" ht="12.75" hidden="1">
      <c r="A15" s="9" t="s">
        <v>13</v>
      </c>
      <c r="B15" s="8">
        <v>22814.6</v>
      </c>
      <c r="C15" s="13">
        <v>21011.33</v>
      </c>
      <c r="D15" s="8">
        <f t="shared" si="0"/>
        <v>1803.2699999999968</v>
      </c>
    </row>
    <row r="16" spans="1:4" ht="12.75" hidden="1">
      <c r="A16" s="9" t="s">
        <v>14</v>
      </c>
      <c r="B16" s="8">
        <v>22814.6</v>
      </c>
      <c r="C16" s="13">
        <v>26210.12</v>
      </c>
      <c r="D16" s="8">
        <f t="shared" si="0"/>
        <v>-3395.5200000000004</v>
      </c>
    </row>
    <row r="17" spans="1:4" ht="12.75" hidden="1">
      <c r="A17" s="9" t="s">
        <v>15</v>
      </c>
      <c r="B17" s="8">
        <v>22814.6</v>
      </c>
      <c r="C17" s="13">
        <v>26283.19</v>
      </c>
      <c r="D17" s="8">
        <f t="shared" si="0"/>
        <v>-3468.59</v>
      </c>
    </row>
    <row r="18" spans="1:4" ht="12.75" hidden="1">
      <c r="A18" s="9" t="s">
        <v>16</v>
      </c>
      <c r="B18" s="8">
        <v>22814.6</v>
      </c>
      <c r="C18" s="13">
        <v>22728.38</v>
      </c>
      <c r="D18" s="8">
        <f t="shared" si="0"/>
        <v>86.21999999999753</v>
      </c>
    </row>
    <row r="19" spans="1:4" ht="12.75" hidden="1">
      <c r="A19" s="9" t="s">
        <v>17</v>
      </c>
      <c r="B19" s="8">
        <v>22814.6</v>
      </c>
      <c r="C19" s="13">
        <v>25127</v>
      </c>
      <c r="D19" s="8">
        <f t="shared" si="0"/>
        <v>-2312.4000000000015</v>
      </c>
    </row>
    <row r="20" spans="1:4" ht="12.75" hidden="1">
      <c r="A20" s="9" t="s">
        <v>18</v>
      </c>
      <c r="B20" s="8">
        <v>22814.6</v>
      </c>
      <c r="C20" s="13">
        <v>22270.17</v>
      </c>
      <c r="D20" s="8">
        <f t="shared" si="0"/>
        <v>544.4300000000003</v>
      </c>
    </row>
    <row r="21" spans="1:4" ht="12.75" hidden="1">
      <c r="A21" s="9" t="s">
        <v>19</v>
      </c>
      <c r="B21" s="13">
        <v>25091.04</v>
      </c>
      <c r="C21" s="13">
        <v>24115.52</v>
      </c>
      <c r="D21" s="8">
        <f t="shared" si="0"/>
        <v>975.5200000000004</v>
      </c>
    </row>
    <row r="22" spans="1:4" ht="12.75" hidden="1">
      <c r="A22" s="9" t="s">
        <v>20</v>
      </c>
      <c r="B22" s="13">
        <v>25091.04</v>
      </c>
      <c r="C22" s="13">
        <v>24209.36</v>
      </c>
      <c r="D22" s="8">
        <f t="shared" si="0"/>
        <v>881.6800000000003</v>
      </c>
    </row>
    <row r="23" spans="1:4" ht="12.75" hidden="1">
      <c r="A23" s="9" t="s">
        <v>21</v>
      </c>
      <c r="B23" s="13">
        <v>25091.04</v>
      </c>
      <c r="C23" s="13">
        <v>28939.99</v>
      </c>
      <c r="D23" s="13">
        <f t="shared" si="0"/>
        <v>-3848.9500000000007</v>
      </c>
    </row>
    <row r="24" spans="1:4" ht="12.75" hidden="1">
      <c r="A24" s="9" t="s">
        <v>22</v>
      </c>
      <c r="B24" s="13">
        <v>25091.04</v>
      </c>
      <c r="C24" s="13">
        <v>24082.1</v>
      </c>
      <c r="D24" s="13">
        <f t="shared" si="0"/>
        <v>1008.9400000000023</v>
      </c>
    </row>
    <row r="25" spans="1:4" ht="12.75" hidden="1">
      <c r="A25" s="9" t="s">
        <v>23</v>
      </c>
      <c r="B25" s="13">
        <v>25091.04</v>
      </c>
      <c r="C25" s="13">
        <v>25371.31</v>
      </c>
      <c r="D25" s="13">
        <f t="shared" si="0"/>
        <v>-280.27000000000044</v>
      </c>
    </row>
    <row r="26" spans="1:4" ht="12.75">
      <c r="A26" s="7" t="s">
        <v>24</v>
      </c>
      <c r="B26" s="8">
        <f>SUM(B27:B38)</f>
        <v>106.92</v>
      </c>
      <c r="C26" s="8">
        <f>SUM(C27:C38)</f>
        <v>106.92</v>
      </c>
      <c r="D26" s="8">
        <f>SUM(D27:D38)</f>
        <v>1.7763568394002505E-15</v>
      </c>
    </row>
    <row r="27" spans="1:4" ht="12.75" hidden="1">
      <c r="A27" s="9" t="s">
        <v>25</v>
      </c>
      <c r="B27" s="8">
        <v>9.72</v>
      </c>
      <c r="C27" s="8">
        <v>9.72</v>
      </c>
      <c r="D27" s="8">
        <f aca="true" t="shared" si="1" ref="D27:D38">B27-C27</f>
        <v>0</v>
      </c>
    </row>
    <row r="28" spans="1:4" ht="12.75" hidden="1">
      <c r="A28" s="9" t="s">
        <v>13</v>
      </c>
      <c r="B28" s="8">
        <v>9.72</v>
      </c>
      <c r="C28" s="8">
        <v>9.72</v>
      </c>
      <c r="D28" s="8">
        <f t="shared" si="1"/>
        <v>0</v>
      </c>
    </row>
    <row r="29" spans="1:4" ht="12.75" hidden="1">
      <c r="A29" s="9" t="s">
        <v>14</v>
      </c>
      <c r="B29" s="8">
        <v>9.72</v>
      </c>
      <c r="C29" s="8">
        <v>9.72</v>
      </c>
      <c r="D29" s="8">
        <f t="shared" si="1"/>
        <v>0</v>
      </c>
    </row>
    <row r="30" spans="1:4" ht="12.75" hidden="1">
      <c r="A30" s="9" t="s">
        <v>15</v>
      </c>
      <c r="B30" s="8">
        <v>9.72</v>
      </c>
      <c r="C30" s="13">
        <v>6.18</v>
      </c>
      <c r="D30" s="8">
        <f t="shared" si="1"/>
        <v>3.540000000000001</v>
      </c>
    </row>
    <row r="31" spans="1:4" ht="12.75" hidden="1">
      <c r="A31" s="9" t="s">
        <v>16</v>
      </c>
      <c r="B31" s="8">
        <v>9.72</v>
      </c>
      <c r="C31" s="13">
        <v>13.26</v>
      </c>
      <c r="D31" s="8">
        <f t="shared" si="1"/>
        <v>-3.539999999999999</v>
      </c>
    </row>
    <row r="32" spans="1:4" ht="12.75" hidden="1">
      <c r="A32" s="9" t="s">
        <v>17</v>
      </c>
      <c r="B32" s="8">
        <v>9.72</v>
      </c>
      <c r="C32" s="8">
        <v>9.72</v>
      </c>
      <c r="D32" s="8">
        <f t="shared" si="1"/>
        <v>0</v>
      </c>
    </row>
    <row r="33" spans="1:4" ht="12.75" hidden="1">
      <c r="A33" s="9" t="s">
        <v>18</v>
      </c>
      <c r="B33" s="8">
        <v>9.72</v>
      </c>
      <c r="C33" s="8">
        <v>9.72</v>
      </c>
      <c r="D33" s="8">
        <f t="shared" si="1"/>
        <v>0</v>
      </c>
    </row>
    <row r="34" spans="1:4" ht="12.75" hidden="1">
      <c r="A34" s="9" t="s">
        <v>19</v>
      </c>
      <c r="B34" s="8">
        <v>9.72</v>
      </c>
      <c r="C34" s="8">
        <v>9.72</v>
      </c>
      <c r="D34" s="8">
        <f t="shared" si="1"/>
        <v>0</v>
      </c>
    </row>
    <row r="35" spans="1:4" ht="12.75" hidden="1">
      <c r="A35" s="9" t="s">
        <v>20</v>
      </c>
      <c r="B35" s="8">
        <v>9.72</v>
      </c>
      <c r="C35" s="8">
        <v>9.72</v>
      </c>
      <c r="D35" s="8">
        <f t="shared" si="1"/>
        <v>0</v>
      </c>
    </row>
    <row r="36" spans="1:4" ht="12.75" hidden="1">
      <c r="A36" s="9" t="s">
        <v>21</v>
      </c>
      <c r="B36" s="8">
        <v>9.72</v>
      </c>
      <c r="C36" s="8">
        <v>9.72</v>
      </c>
      <c r="D36" s="13">
        <f t="shared" si="1"/>
        <v>0</v>
      </c>
    </row>
    <row r="37" spans="1:4" ht="12.75" hidden="1">
      <c r="A37" s="9" t="s">
        <v>22</v>
      </c>
      <c r="B37" s="8">
        <v>9.72</v>
      </c>
      <c r="C37" s="8">
        <v>9.72</v>
      </c>
      <c r="D37" s="13">
        <f t="shared" si="1"/>
        <v>0</v>
      </c>
    </row>
    <row r="38" spans="1:4" ht="12.75" hidden="1">
      <c r="A38" s="9" t="s">
        <v>23</v>
      </c>
      <c r="B38" s="13"/>
      <c r="C38" s="13"/>
      <c r="D38" s="13">
        <f t="shared" si="1"/>
        <v>0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148</v>
      </c>
      <c r="B42" s="8">
        <f>SUM(B43:B54)</f>
        <v>0</v>
      </c>
      <c r="C42" s="8">
        <f>SUM(C43:C54)</f>
        <v>0</v>
      </c>
      <c r="D42" s="8">
        <f>SUM(D43:D54)</f>
        <v>0</v>
      </c>
    </row>
    <row r="43" spans="1:4" ht="12.75" hidden="1">
      <c r="A43" s="9" t="s">
        <v>25</v>
      </c>
      <c r="B43" s="8"/>
      <c r="C43" s="8"/>
      <c r="D43" s="8">
        <f aca="true" t="shared" si="2" ref="D43:D49">B43-C43</f>
        <v>0</v>
      </c>
    </row>
    <row r="44" spans="1:4" ht="12.75" hidden="1">
      <c r="A44" s="9" t="s">
        <v>13</v>
      </c>
      <c r="B44" s="13"/>
      <c r="C44" s="13"/>
      <c r="D44" s="8">
        <f t="shared" si="2"/>
        <v>0</v>
      </c>
    </row>
    <row r="45" spans="1:4" ht="12.75" hidden="1">
      <c r="A45" s="9" t="s">
        <v>14</v>
      </c>
      <c r="B45" s="13"/>
      <c r="C45" s="13"/>
      <c r="D45" s="8">
        <f t="shared" si="2"/>
        <v>0</v>
      </c>
    </row>
    <row r="46" spans="1:4" ht="12.75" hidden="1">
      <c r="A46" s="9" t="s">
        <v>15</v>
      </c>
      <c r="B46" s="13"/>
      <c r="C46" s="13"/>
      <c r="D46" s="8">
        <f t="shared" si="2"/>
        <v>0</v>
      </c>
    </row>
    <row r="47" spans="1:4" ht="12.75" hidden="1">
      <c r="A47" s="9" t="s">
        <v>16</v>
      </c>
      <c r="B47" s="13"/>
      <c r="C47" s="13"/>
      <c r="D47" s="8">
        <f t="shared" si="2"/>
        <v>0</v>
      </c>
    </row>
    <row r="48" spans="1:4" ht="12.75" hidden="1">
      <c r="A48" s="9" t="s">
        <v>17</v>
      </c>
      <c r="B48" s="13"/>
      <c r="C48" s="13"/>
      <c r="D48" s="8">
        <f t="shared" si="2"/>
        <v>0</v>
      </c>
    </row>
    <row r="49" spans="1:4" ht="12.75" hidden="1">
      <c r="A49" s="9" t="s">
        <v>18</v>
      </c>
      <c r="B49" s="13"/>
      <c r="C49" s="13"/>
      <c r="D49" s="8">
        <f t="shared" si="2"/>
        <v>0</v>
      </c>
    </row>
    <row r="50" spans="1:4" ht="12.75" hidden="1">
      <c r="A50" s="9" t="s">
        <v>19</v>
      </c>
      <c r="B50" s="8"/>
      <c r="C50" s="8"/>
      <c r="D50" s="8">
        <f>B50-C50</f>
        <v>0</v>
      </c>
    </row>
    <row r="51" spans="1:4" ht="12.75" hidden="1">
      <c r="A51" s="9" t="s">
        <v>20</v>
      </c>
      <c r="B51" s="13"/>
      <c r="C51" s="13"/>
      <c r="D51" s="8">
        <f>B51-C51</f>
        <v>0</v>
      </c>
    </row>
    <row r="52" spans="1:4" ht="12.75" hidden="1">
      <c r="A52" s="9" t="s">
        <v>21</v>
      </c>
      <c r="B52" s="13"/>
      <c r="C52" s="13"/>
      <c r="D52" s="13">
        <f>B52-C52</f>
        <v>0</v>
      </c>
    </row>
    <row r="53" spans="1:4" ht="12.75" hidden="1">
      <c r="A53" s="9" t="s">
        <v>22</v>
      </c>
      <c r="B53" s="13"/>
      <c r="C53" s="13"/>
      <c r="D53" s="13">
        <f>B53-C53</f>
        <v>0</v>
      </c>
    </row>
    <row r="54" spans="1:4" ht="12.75" hidden="1">
      <c r="A54" s="9" t="s">
        <v>23</v>
      </c>
      <c r="B54" s="13"/>
      <c r="C54" s="13"/>
      <c r="D54" s="13">
        <f>B54-C54</f>
        <v>0</v>
      </c>
    </row>
    <row r="55" spans="1:4" ht="12.75">
      <c r="A55" s="9" t="s">
        <v>26</v>
      </c>
      <c r="B55" s="8">
        <f>B13+B26</f>
        <v>285264.32</v>
      </c>
      <c r="C55" s="8">
        <f>C13+C26</f>
        <v>291539.06999999995</v>
      </c>
      <c r="D55" s="8">
        <f>D13+D26</f>
        <v>-6274.750000000007</v>
      </c>
    </row>
    <row r="57" spans="1:4" ht="12.75">
      <c r="A57" t="s">
        <v>27</v>
      </c>
      <c r="D57" s="12">
        <f>D55</f>
        <v>-6274.750000000007</v>
      </c>
    </row>
    <row r="59" spans="1:4" ht="12.75">
      <c r="A59" s="11" t="s">
        <v>28</v>
      </c>
      <c r="D59" s="12">
        <f>D60+D61</f>
        <v>24928.444</v>
      </c>
    </row>
    <row r="60" spans="1:4" ht="12.75" hidden="1">
      <c r="A60" s="11" t="s">
        <v>29</v>
      </c>
      <c r="D60" s="12">
        <f>(2.75*2*D5)+(1.1*5*D5)+(1.21*5*D5)</f>
        <v>21326.14</v>
      </c>
    </row>
    <row r="61" spans="1:4" ht="12.75" hidden="1">
      <c r="A61" s="11" t="s">
        <v>30</v>
      </c>
      <c r="D61" s="12">
        <f>(0.24*12*D5)</f>
        <v>3602.3039999999996</v>
      </c>
    </row>
    <row r="62" spans="1:4" ht="12.75">
      <c r="A62" s="11" t="s">
        <v>31</v>
      </c>
      <c r="D62" s="12">
        <f>(0.66*2*D5)</f>
        <v>1651.056</v>
      </c>
    </row>
    <row r="63" spans="1:4" ht="12.75">
      <c r="A63" s="11" t="s">
        <v>81</v>
      </c>
      <c r="D63" s="12">
        <f>(0.5*2*D5)+(0.55*5*D5)+(0.6*5*D5)</f>
        <v>8442.9</v>
      </c>
    </row>
    <row r="64" spans="1:4" ht="12.75">
      <c r="A64" s="11" t="s">
        <v>90</v>
      </c>
      <c r="D64" s="12">
        <f>(2.2*7*D5)+(2.42*5*D5)</f>
        <v>34397</v>
      </c>
    </row>
    <row r="65" spans="1:4" ht="12.75" hidden="1">
      <c r="A65" s="11" t="s">
        <v>33</v>
      </c>
      <c r="D65" s="12">
        <v>0</v>
      </c>
    </row>
    <row r="66" spans="1:4" ht="12.75">
      <c r="A66" s="11" t="s">
        <v>80</v>
      </c>
      <c r="D66" s="12">
        <f>(0.72*2*D5)</f>
        <v>1801.1519999999998</v>
      </c>
    </row>
    <row r="67" spans="1:4" ht="12.75">
      <c r="A67" s="11" t="s">
        <v>34</v>
      </c>
      <c r="D67" s="12">
        <f>(3.3*2*D5)+(1.2*5*D5)+(1.32*5*D5)</f>
        <v>24015.36</v>
      </c>
    </row>
    <row r="68" spans="1:4" ht="12.75">
      <c r="A68" s="11" t="s">
        <v>35</v>
      </c>
      <c r="D68" s="12">
        <f>(2.2*2*D5)+(4.1*5*D5)+(4.51*5*D5)</f>
        <v>59350.45999999999</v>
      </c>
    </row>
    <row r="69" spans="1:4" ht="12.75">
      <c r="A69" s="11" t="s">
        <v>36</v>
      </c>
      <c r="D69" s="12">
        <f>(0.24*7*D5)+(0.26*5*D5)</f>
        <v>3727.384</v>
      </c>
    </row>
    <row r="70" spans="1:4" ht="12.75">
      <c r="A70" s="11" t="s">
        <v>82</v>
      </c>
      <c r="D70" s="12">
        <f>(0.77*2*D5)+(3.2*5*D5)+(3.52*5*D5)</f>
        <v>43953.112</v>
      </c>
    </row>
    <row r="71" spans="1:4" ht="12.75">
      <c r="A71" s="11" t="s">
        <v>37</v>
      </c>
      <c r="D71" s="12">
        <f>2.25*12*D6</f>
        <v>729</v>
      </c>
    </row>
    <row r="72" spans="1:7" ht="12.75">
      <c r="A72" s="11" t="s">
        <v>38</v>
      </c>
      <c r="D72" s="12">
        <v>16856</v>
      </c>
      <c r="G72" s="17"/>
    </row>
    <row r="73" spans="1:7" ht="12.75">
      <c r="A73" s="11" t="s">
        <v>39</v>
      </c>
      <c r="D73" s="12">
        <f>(1.76*2*D5)+(0.75*5*D5)+(0.83*5*D5)</f>
        <v>14284.135999999999</v>
      </c>
      <c r="G73" s="17"/>
    </row>
    <row r="74" spans="1:7" ht="12.75" hidden="1">
      <c r="A74" s="15" t="s">
        <v>65</v>
      </c>
      <c r="D74" s="12">
        <v>0</v>
      </c>
      <c r="G74" s="17"/>
    </row>
    <row r="75" spans="1:4" ht="12.75">
      <c r="A75" s="11"/>
      <c r="D75" s="12"/>
    </row>
    <row r="76" spans="1:4" ht="12.75">
      <c r="A76" s="11" t="s">
        <v>40</v>
      </c>
      <c r="D76" s="12">
        <f>D59+D62+D63+D64+D65+D66+D67+D68+D69+D70+D71+D72+D73</f>
        <v>234136.00399999996</v>
      </c>
    </row>
    <row r="77" spans="1:4" ht="12.75">
      <c r="A77" s="11"/>
      <c r="D77" s="12"/>
    </row>
    <row r="78" spans="1:4" ht="12.75">
      <c r="A78" t="s">
        <v>69</v>
      </c>
      <c r="D78" s="12">
        <f>C55-D76</f>
        <v>57403.06599999999</v>
      </c>
    </row>
    <row r="80" ht="12.75">
      <c r="D80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39"/>
  <dimension ref="A3:G90"/>
  <sheetViews>
    <sheetView zoomScalePageLayoutView="0" workbookViewId="0" topLeftCell="A7">
      <selection activeCell="A90" sqref="A90:D90"/>
    </sheetView>
  </sheetViews>
  <sheetFormatPr defaultColWidth="9.140625" defaultRowHeight="12.75"/>
  <cols>
    <col min="1" max="1" width="15.57421875" style="0" customWidth="1"/>
    <col min="2" max="2" width="14.7109375" style="0" customWidth="1"/>
    <col min="3" max="3" width="13.8515625" style="0" customWidth="1"/>
    <col min="4" max="4" width="15.28125" style="0" customWidth="1"/>
  </cols>
  <sheetData>
    <row r="3" spans="1:7" ht="12.75">
      <c r="A3" s="1" t="s">
        <v>0</v>
      </c>
      <c r="B3" s="2" t="s">
        <v>1</v>
      </c>
      <c r="C3" s="1" t="s">
        <v>55</v>
      </c>
      <c r="D3" s="1"/>
      <c r="E3" s="1" t="s">
        <v>2</v>
      </c>
      <c r="F3" s="3">
        <v>13</v>
      </c>
      <c r="G3">
        <v>2015</v>
      </c>
    </row>
    <row r="5" spans="1:5" ht="12.75">
      <c r="A5" t="s">
        <v>3</v>
      </c>
      <c r="D5" s="4">
        <v>1270.2</v>
      </c>
      <c r="E5" s="5" t="s">
        <v>41</v>
      </c>
    </row>
    <row r="6" spans="1:5" ht="12.75">
      <c r="A6" t="s">
        <v>4</v>
      </c>
      <c r="D6" s="4">
        <v>27</v>
      </c>
      <c r="E6" s="5"/>
    </row>
    <row r="7" spans="1:5" ht="12.75">
      <c r="A7" t="s">
        <v>5</v>
      </c>
      <c r="D7" s="4">
        <v>72</v>
      </c>
      <c r="E7" s="5" t="s">
        <v>6</v>
      </c>
    </row>
    <row r="8" spans="1:5" ht="12.75">
      <c r="A8" t="s">
        <v>7</v>
      </c>
      <c r="D8" s="4">
        <v>129.4</v>
      </c>
      <c r="E8" s="5" t="s">
        <v>41</v>
      </c>
    </row>
    <row r="9" spans="1:5" ht="12.75">
      <c r="A9" t="s">
        <v>8</v>
      </c>
      <c r="D9" s="4">
        <v>3199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289716.99999999994</v>
      </c>
      <c r="C13" s="8">
        <f>SUM(C14:C25)</f>
        <v>301814.97</v>
      </c>
      <c r="D13" s="8">
        <f>SUM(D14:D25)</f>
        <v>-12097.969999999978</v>
      </c>
    </row>
    <row r="14" spans="1:4" ht="12.75" hidden="1">
      <c r="A14" s="9" t="s">
        <v>25</v>
      </c>
      <c r="B14" s="8">
        <v>23179.4</v>
      </c>
      <c r="C14" s="8">
        <v>11630.37</v>
      </c>
      <c r="D14" s="8">
        <f aca="true" t="shared" si="0" ref="D14:D25">B14-C14</f>
        <v>11549.03</v>
      </c>
    </row>
    <row r="15" spans="1:4" ht="12.75" hidden="1">
      <c r="A15" s="9" t="s">
        <v>13</v>
      </c>
      <c r="B15" s="8">
        <v>23179.4</v>
      </c>
      <c r="C15" s="13">
        <v>28420.48</v>
      </c>
      <c r="D15" s="8">
        <f t="shared" si="0"/>
        <v>-5241.079999999998</v>
      </c>
    </row>
    <row r="16" spans="1:4" ht="12.75" hidden="1">
      <c r="A16" s="9" t="s">
        <v>14</v>
      </c>
      <c r="B16" s="8">
        <v>23179.4</v>
      </c>
      <c r="C16" s="13">
        <v>33265.64</v>
      </c>
      <c r="D16" s="8">
        <f t="shared" si="0"/>
        <v>-10086.239999999998</v>
      </c>
    </row>
    <row r="17" spans="1:4" ht="12.75" hidden="1">
      <c r="A17" s="9" t="s">
        <v>15</v>
      </c>
      <c r="B17" s="8">
        <v>23179.4</v>
      </c>
      <c r="C17" s="13">
        <v>21938.53</v>
      </c>
      <c r="D17" s="8">
        <f t="shared" si="0"/>
        <v>1240.8700000000026</v>
      </c>
    </row>
    <row r="18" spans="1:4" ht="12.75" hidden="1">
      <c r="A18" s="9" t="s">
        <v>16</v>
      </c>
      <c r="B18" s="8">
        <v>23179.4</v>
      </c>
      <c r="C18" s="13">
        <v>22414.92</v>
      </c>
      <c r="D18" s="8">
        <f t="shared" si="0"/>
        <v>764.4800000000032</v>
      </c>
    </row>
    <row r="19" spans="1:4" ht="12.75" hidden="1">
      <c r="A19" s="9" t="s">
        <v>17</v>
      </c>
      <c r="B19" s="8">
        <v>23179.4</v>
      </c>
      <c r="C19" s="13">
        <v>24970.67</v>
      </c>
      <c r="D19" s="8">
        <f t="shared" si="0"/>
        <v>-1791.2699999999968</v>
      </c>
    </row>
    <row r="20" spans="1:4" ht="12.75" hidden="1">
      <c r="A20" s="9" t="s">
        <v>18</v>
      </c>
      <c r="B20" s="8">
        <v>23179.4</v>
      </c>
      <c r="C20" s="13">
        <v>20632.76</v>
      </c>
      <c r="D20" s="8">
        <f t="shared" si="0"/>
        <v>2546.640000000003</v>
      </c>
    </row>
    <row r="21" spans="1:4" ht="12.75" hidden="1">
      <c r="A21" s="9" t="s">
        <v>19</v>
      </c>
      <c r="B21" s="13">
        <v>25492.24</v>
      </c>
      <c r="C21" s="13">
        <v>29057.15</v>
      </c>
      <c r="D21" s="8">
        <f t="shared" si="0"/>
        <v>-3564.91</v>
      </c>
    </row>
    <row r="22" spans="1:4" ht="12.75" hidden="1">
      <c r="A22" s="9" t="s">
        <v>20</v>
      </c>
      <c r="B22" s="13">
        <v>25492.24</v>
      </c>
      <c r="C22" s="13">
        <v>30236.26</v>
      </c>
      <c r="D22" s="8">
        <f t="shared" si="0"/>
        <v>-4744.019999999997</v>
      </c>
    </row>
    <row r="23" spans="1:4" ht="12.75" hidden="1">
      <c r="A23" s="9" t="s">
        <v>21</v>
      </c>
      <c r="B23" s="13">
        <v>25492.24</v>
      </c>
      <c r="C23" s="13">
        <v>24515.93</v>
      </c>
      <c r="D23" s="13">
        <f t="shared" si="0"/>
        <v>976.3100000000013</v>
      </c>
    </row>
    <row r="24" spans="1:4" ht="12.75" hidden="1">
      <c r="A24" s="9" t="s">
        <v>22</v>
      </c>
      <c r="B24" s="13">
        <v>25492.24</v>
      </c>
      <c r="C24" s="13">
        <v>23780.77</v>
      </c>
      <c r="D24" s="13">
        <f t="shared" si="0"/>
        <v>1711.4700000000012</v>
      </c>
    </row>
    <row r="25" spans="1:4" ht="12.75" hidden="1">
      <c r="A25" s="9" t="s">
        <v>23</v>
      </c>
      <c r="B25" s="13">
        <v>25492.24</v>
      </c>
      <c r="C25" s="13">
        <v>30951.49</v>
      </c>
      <c r="D25" s="13">
        <f t="shared" si="0"/>
        <v>-5459.25</v>
      </c>
    </row>
    <row r="26" spans="1:4" ht="12.75">
      <c r="A26" s="7" t="s">
        <v>24</v>
      </c>
      <c r="B26" s="8">
        <f>SUM(B27:B38)</f>
        <v>52.56000000000001</v>
      </c>
      <c r="C26" s="8">
        <f>SUM(C27:C38)</f>
        <v>52.56000000000001</v>
      </c>
      <c r="D26" s="8">
        <f>SUM(D27:D38)</f>
        <v>0</v>
      </c>
    </row>
    <row r="27" spans="1:4" ht="12.75" hidden="1">
      <c r="A27" s="9" t="s">
        <v>25</v>
      </c>
      <c r="B27" s="8">
        <v>4.38</v>
      </c>
      <c r="C27" s="8">
        <v>0</v>
      </c>
      <c r="D27" s="8">
        <f aca="true" t="shared" si="1" ref="D27:D38">B27-C27</f>
        <v>4.38</v>
      </c>
    </row>
    <row r="28" spans="1:4" ht="12.75" hidden="1">
      <c r="A28" s="9" t="s">
        <v>13</v>
      </c>
      <c r="B28" s="8">
        <v>4.38</v>
      </c>
      <c r="C28" s="8">
        <v>4.38</v>
      </c>
      <c r="D28" s="8">
        <f t="shared" si="1"/>
        <v>0</v>
      </c>
    </row>
    <row r="29" spans="1:4" ht="12.75" hidden="1">
      <c r="A29" s="9" t="s">
        <v>14</v>
      </c>
      <c r="B29" s="8">
        <v>4.38</v>
      </c>
      <c r="C29" s="8">
        <v>4.38</v>
      </c>
      <c r="D29" s="8">
        <f t="shared" si="1"/>
        <v>0</v>
      </c>
    </row>
    <row r="30" spans="1:4" ht="12.75" hidden="1">
      <c r="A30" s="9" t="s">
        <v>15</v>
      </c>
      <c r="B30" s="8">
        <v>4.38</v>
      </c>
      <c r="C30" s="8">
        <v>4.38</v>
      </c>
      <c r="D30" s="8">
        <f t="shared" si="1"/>
        <v>0</v>
      </c>
    </row>
    <row r="31" spans="1:4" ht="12.75" hidden="1">
      <c r="A31" s="9" t="s">
        <v>16</v>
      </c>
      <c r="B31" s="8">
        <v>4.38</v>
      </c>
      <c r="C31" s="8">
        <v>4.38</v>
      </c>
      <c r="D31" s="8">
        <f t="shared" si="1"/>
        <v>0</v>
      </c>
    </row>
    <row r="32" spans="1:4" ht="12.75" hidden="1">
      <c r="A32" s="9" t="s">
        <v>17</v>
      </c>
      <c r="B32" s="8">
        <v>4.38</v>
      </c>
      <c r="C32" s="8">
        <v>8.76</v>
      </c>
      <c r="D32" s="8">
        <f t="shared" si="1"/>
        <v>-4.38</v>
      </c>
    </row>
    <row r="33" spans="1:4" ht="12.75" hidden="1">
      <c r="A33" s="9" t="s">
        <v>18</v>
      </c>
      <c r="B33" s="8">
        <v>4.38</v>
      </c>
      <c r="C33" s="8">
        <v>4.38</v>
      </c>
      <c r="D33" s="8">
        <f t="shared" si="1"/>
        <v>0</v>
      </c>
    </row>
    <row r="34" spans="1:4" ht="12.75" hidden="1">
      <c r="A34" s="9" t="s">
        <v>19</v>
      </c>
      <c r="B34" s="8">
        <v>4.38</v>
      </c>
      <c r="C34" s="8">
        <v>4.38</v>
      </c>
      <c r="D34" s="8">
        <f t="shared" si="1"/>
        <v>0</v>
      </c>
    </row>
    <row r="35" spans="1:4" ht="12.75" hidden="1">
      <c r="A35" s="9" t="s">
        <v>20</v>
      </c>
      <c r="B35" s="8">
        <v>4.38</v>
      </c>
      <c r="C35" s="8">
        <v>4.38</v>
      </c>
      <c r="D35" s="8">
        <f t="shared" si="1"/>
        <v>0</v>
      </c>
    </row>
    <row r="36" spans="1:4" ht="12.75" hidden="1">
      <c r="A36" s="9" t="s">
        <v>21</v>
      </c>
      <c r="B36" s="8">
        <v>4.38</v>
      </c>
      <c r="C36" s="8">
        <v>4.38</v>
      </c>
      <c r="D36" s="13">
        <f t="shared" si="1"/>
        <v>0</v>
      </c>
    </row>
    <row r="37" spans="1:4" ht="12.75" hidden="1">
      <c r="A37" s="9" t="s">
        <v>22</v>
      </c>
      <c r="B37" s="8">
        <v>4.38</v>
      </c>
      <c r="C37" s="8">
        <v>4.38</v>
      </c>
      <c r="D37" s="13">
        <f t="shared" si="1"/>
        <v>0</v>
      </c>
    </row>
    <row r="38" spans="1:4" ht="12.75" hidden="1">
      <c r="A38" s="9" t="s">
        <v>23</v>
      </c>
      <c r="B38" s="8">
        <v>4.38</v>
      </c>
      <c r="C38" s="8">
        <v>4.38</v>
      </c>
      <c r="D38" s="13">
        <f t="shared" si="1"/>
        <v>0</v>
      </c>
    </row>
    <row r="39" spans="1:4" ht="12.75" hidden="1">
      <c r="A39" s="7" t="s">
        <v>42</v>
      </c>
      <c r="B39" s="8">
        <f>SUM(B40:B51)</f>
        <v>0</v>
      </c>
      <c r="C39" s="8">
        <f>SUM(C40:C51)</f>
        <v>0</v>
      </c>
      <c r="D39" s="8">
        <f>SUM(D40:D51)</f>
        <v>0</v>
      </c>
    </row>
    <row r="40" spans="1:4" ht="12.75" hidden="1">
      <c r="A40" s="9" t="s">
        <v>25</v>
      </c>
      <c r="B40" s="8"/>
      <c r="C40" s="8"/>
      <c r="D40" s="8">
        <f aca="true" t="shared" si="2" ref="D40:D46">B40-C40</f>
        <v>0</v>
      </c>
    </row>
    <row r="41" spans="1:4" ht="12.75" hidden="1">
      <c r="A41" s="9" t="s">
        <v>13</v>
      </c>
      <c r="B41" s="13"/>
      <c r="C41" s="13"/>
      <c r="D41" s="8">
        <f t="shared" si="2"/>
        <v>0</v>
      </c>
    </row>
    <row r="42" spans="1:4" ht="12.75" hidden="1">
      <c r="A42" s="9" t="s">
        <v>14</v>
      </c>
      <c r="B42" s="13"/>
      <c r="C42" s="13"/>
      <c r="D42" s="8">
        <f t="shared" si="2"/>
        <v>0</v>
      </c>
    </row>
    <row r="43" spans="1:4" ht="12.75" hidden="1">
      <c r="A43" s="9" t="s">
        <v>15</v>
      </c>
      <c r="B43" s="13"/>
      <c r="C43" s="13"/>
      <c r="D43" s="8">
        <f t="shared" si="2"/>
        <v>0</v>
      </c>
    </row>
    <row r="44" spans="1:4" ht="12.75" hidden="1">
      <c r="A44" s="9" t="s">
        <v>16</v>
      </c>
      <c r="B44" s="13"/>
      <c r="C44" s="13"/>
      <c r="D44" s="8">
        <f t="shared" si="2"/>
        <v>0</v>
      </c>
    </row>
    <row r="45" spans="1:4" ht="12.75" hidden="1">
      <c r="A45" s="9" t="s">
        <v>17</v>
      </c>
      <c r="B45" s="13"/>
      <c r="C45" s="13"/>
      <c r="D45" s="8">
        <f t="shared" si="2"/>
        <v>0</v>
      </c>
    </row>
    <row r="46" spans="1:4" ht="12.75" hidden="1">
      <c r="A46" s="9" t="s">
        <v>18</v>
      </c>
      <c r="B46" s="13"/>
      <c r="C46" s="13"/>
      <c r="D46" s="8">
        <f t="shared" si="2"/>
        <v>0</v>
      </c>
    </row>
    <row r="47" spans="1:4" ht="12.75" hidden="1">
      <c r="A47" s="9" t="s">
        <v>19</v>
      </c>
      <c r="B47" s="8"/>
      <c r="C47" s="8"/>
      <c r="D47" s="8">
        <f>B47-C47</f>
        <v>0</v>
      </c>
    </row>
    <row r="48" spans="1:4" ht="12.75" hidden="1">
      <c r="A48" s="9" t="s">
        <v>20</v>
      </c>
      <c r="B48" s="13"/>
      <c r="C48" s="13"/>
      <c r="D48" s="8">
        <f>B48-C48</f>
        <v>0</v>
      </c>
    </row>
    <row r="49" spans="1:4" ht="12.75" hidden="1">
      <c r="A49" s="9" t="s">
        <v>21</v>
      </c>
      <c r="B49" s="13"/>
      <c r="C49" s="13"/>
      <c r="D49" s="13">
        <f>B49-C49</f>
        <v>0</v>
      </c>
    </row>
    <row r="50" spans="1:4" ht="12.75" hidden="1">
      <c r="A50" s="9" t="s">
        <v>22</v>
      </c>
      <c r="B50" s="13"/>
      <c r="C50" s="13"/>
      <c r="D50" s="13">
        <f>B50-C50</f>
        <v>0</v>
      </c>
    </row>
    <row r="51" spans="1:4" ht="12.75" hidden="1">
      <c r="A51" s="9" t="s">
        <v>23</v>
      </c>
      <c r="B51" s="13"/>
      <c r="C51" s="13"/>
      <c r="D51" s="13">
        <f>B51-C51</f>
        <v>0</v>
      </c>
    </row>
    <row r="52" spans="1:4" ht="12.75" hidden="1">
      <c r="A52" s="7" t="s">
        <v>73</v>
      </c>
      <c r="B52" s="8">
        <f>SUM(B53:B64)</f>
        <v>0</v>
      </c>
      <c r="C52" s="8">
        <f>SUM(C53:C64)</f>
        <v>0</v>
      </c>
      <c r="D52" s="8">
        <f>SUM(D53:D64)</f>
        <v>0</v>
      </c>
    </row>
    <row r="53" spans="1:4" ht="12.75" hidden="1">
      <c r="A53" s="9" t="s">
        <v>25</v>
      </c>
      <c r="B53" s="8"/>
      <c r="C53" s="8"/>
      <c r="D53" s="8">
        <f aca="true" t="shared" si="3" ref="D53:D59">B53-C53</f>
        <v>0</v>
      </c>
    </row>
    <row r="54" spans="1:4" ht="12.75" hidden="1">
      <c r="A54" s="9" t="s">
        <v>13</v>
      </c>
      <c r="B54" s="13"/>
      <c r="C54" s="13"/>
      <c r="D54" s="8">
        <f t="shared" si="3"/>
        <v>0</v>
      </c>
    </row>
    <row r="55" spans="1:4" ht="12.75" hidden="1">
      <c r="A55" s="9" t="s">
        <v>14</v>
      </c>
      <c r="B55" s="13"/>
      <c r="C55" s="13"/>
      <c r="D55" s="8">
        <f t="shared" si="3"/>
        <v>0</v>
      </c>
    </row>
    <row r="56" spans="1:4" ht="12.75" hidden="1">
      <c r="A56" s="9" t="s">
        <v>15</v>
      </c>
      <c r="B56" s="13"/>
      <c r="C56" s="13"/>
      <c r="D56" s="8">
        <f t="shared" si="3"/>
        <v>0</v>
      </c>
    </row>
    <row r="57" spans="1:4" ht="12.75" hidden="1">
      <c r="A57" s="9" t="s">
        <v>16</v>
      </c>
      <c r="B57" s="13"/>
      <c r="C57" s="13"/>
      <c r="D57" s="8">
        <f t="shared" si="3"/>
        <v>0</v>
      </c>
    </row>
    <row r="58" spans="1:4" ht="12.75" hidden="1">
      <c r="A58" s="9" t="s">
        <v>17</v>
      </c>
      <c r="B58" s="13"/>
      <c r="C58" s="13"/>
      <c r="D58" s="8">
        <f t="shared" si="3"/>
        <v>0</v>
      </c>
    </row>
    <row r="59" spans="1:4" ht="12.75" hidden="1">
      <c r="A59" s="9" t="s">
        <v>18</v>
      </c>
      <c r="B59" s="13"/>
      <c r="C59" s="13"/>
      <c r="D59" s="8">
        <f t="shared" si="3"/>
        <v>0</v>
      </c>
    </row>
    <row r="60" spans="1:4" ht="12.75" hidden="1">
      <c r="A60" s="9" t="s">
        <v>19</v>
      </c>
      <c r="B60" s="8"/>
      <c r="C60" s="8"/>
      <c r="D60" s="8">
        <f>B60-C60</f>
        <v>0</v>
      </c>
    </row>
    <row r="61" spans="1:4" ht="12.75" hidden="1">
      <c r="A61" s="9" t="s">
        <v>20</v>
      </c>
      <c r="B61" s="13"/>
      <c r="C61" s="13"/>
      <c r="D61" s="8">
        <f>B61-C61</f>
        <v>0</v>
      </c>
    </row>
    <row r="62" spans="1:4" ht="12.75" hidden="1">
      <c r="A62" s="9" t="s">
        <v>21</v>
      </c>
      <c r="B62" s="13"/>
      <c r="C62" s="13"/>
      <c r="D62" s="13">
        <f>B62-C62</f>
        <v>0</v>
      </c>
    </row>
    <row r="63" spans="1:4" ht="12.75" hidden="1">
      <c r="A63" s="9" t="s">
        <v>22</v>
      </c>
      <c r="B63" s="13"/>
      <c r="C63" s="13"/>
      <c r="D63" s="13">
        <f>B63-C63</f>
        <v>0</v>
      </c>
    </row>
    <row r="64" spans="1:4" ht="12.75" hidden="1">
      <c r="A64" s="9" t="s">
        <v>23</v>
      </c>
      <c r="B64" s="13"/>
      <c r="C64" s="13"/>
      <c r="D64" s="13">
        <f>B64-C64</f>
        <v>0</v>
      </c>
    </row>
    <row r="65" spans="1:4" ht="12.75">
      <c r="A65" s="9" t="s">
        <v>26</v>
      </c>
      <c r="B65" s="8">
        <f>B13+B26</f>
        <v>289769.55999999994</v>
      </c>
      <c r="C65" s="8">
        <f>C13+C26</f>
        <v>301867.52999999997</v>
      </c>
      <c r="D65" s="8">
        <f>D13+D26</f>
        <v>-12097.969999999978</v>
      </c>
    </row>
    <row r="67" spans="1:4" ht="12.75">
      <c r="A67" t="s">
        <v>27</v>
      </c>
      <c r="D67" s="12">
        <f>D65</f>
        <v>-12097.969999999978</v>
      </c>
    </row>
    <row r="69" spans="1:4" ht="12.75">
      <c r="A69" s="11" t="s">
        <v>28</v>
      </c>
      <c r="D69" s="12">
        <f>D70+D71</f>
        <v>25315.086</v>
      </c>
    </row>
    <row r="70" spans="1:4" ht="12.75" hidden="1">
      <c r="A70" s="11" t="s">
        <v>29</v>
      </c>
      <c r="D70" s="12">
        <f>(2.75*2*D5)+(1.1*5*D5)+(1.21*5*D5)</f>
        <v>21656.91</v>
      </c>
    </row>
    <row r="71" spans="1:4" ht="12.75" hidden="1">
      <c r="A71" s="11" t="s">
        <v>30</v>
      </c>
      <c r="D71" s="12">
        <f>(0.24*12*D5)</f>
        <v>3658.176</v>
      </c>
    </row>
    <row r="72" spans="1:4" ht="12.75">
      <c r="A72" s="11" t="s">
        <v>31</v>
      </c>
      <c r="D72" s="12">
        <f>(0.66*2*D5)</f>
        <v>1676.6640000000002</v>
      </c>
    </row>
    <row r="73" spans="1:4" ht="12.75">
      <c r="A73" s="11" t="s">
        <v>81</v>
      </c>
      <c r="D73" s="12">
        <f>(0.5*2*D5)+(0.55*5*D5)+(0.6*5*D5)</f>
        <v>8573.85</v>
      </c>
    </row>
    <row r="74" spans="1:4" ht="12.75">
      <c r="A74" s="11" t="s">
        <v>90</v>
      </c>
      <c r="D74" s="12">
        <f>(2.2*7*D5)+(2.42*5*D5)</f>
        <v>34930.5</v>
      </c>
    </row>
    <row r="75" spans="1:4" ht="12.75" hidden="1">
      <c r="A75" s="11" t="s">
        <v>33</v>
      </c>
      <c r="D75" s="12">
        <v>0</v>
      </c>
    </row>
    <row r="76" spans="1:4" ht="12.75">
      <c r="A76" s="11" t="s">
        <v>80</v>
      </c>
      <c r="D76" s="12">
        <f>(0.72*2*D5)</f>
        <v>1829.088</v>
      </c>
    </row>
    <row r="77" spans="1:4" ht="12.75">
      <c r="A77" s="11" t="s">
        <v>34</v>
      </c>
      <c r="D77" s="12">
        <f>(3.3*2*D5)+(1.2*5*D5)+(1.32*5*D5)</f>
        <v>24387.840000000004</v>
      </c>
    </row>
    <row r="78" spans="1:4" ht="12.75">
      <c r="A78" s="11" t="s">
        <v>35</v>
      </c>
      <c r="D78" s="12">
        <f>(2.2*2*D5)+(4.1*5*D5)+(4.51*5*D5)</f>
        <v>60270.990000000005</v>
      </c>
    </row>
    <row r="79" spans="1:4" ht="12.75">
      <c r="A79" s="11" t="s">
        <v>36</v>
      </c>
      <c r="D79" s="12">
        <f>(0.24*7*D5)+(0.26*5*D5)</f>
        <v>3785.1960000000004</v>
      </c>
    </row>
    <row r="80" spans="1:4" ht="12.75">
      <c r="A80" s="11" t="s">
        <v>82</v>
      </c>
      <c r="D80" s="12">
        <f>(0.77*2*D5)+(3.2*5*D5)+(3.52*5*D5)</f>
        <v>44634.82800000001</v>
      </c>
    </row>
    <row r="81" spans="1:4" ht="12.75">
      <c r="A81" s="11" t="s">
        <v>37</v>
      </c>
      <c r="D81" s="12">
        <f>2.25*12*D6</f>
        <v>729</v>
      </c>
    </row>
    <row r="82" spans="1:4" ht="12.75">
      <c r="A82" s="11" t="s">
        <v>38</v>
      </c>
      <c r="D82" s="12">
        <v>53107</v>
      </c>
    </row>
    <row r="83" spans="1:4" ht="12.75">
      <c r="A83" s="11" t="s">
        <v>39</v>
      </c>
      <c r="D83" s="12">
        <f>(1.76*2*D5)+(0.75*5*D5)+(0.83*5*D5)</f>
        <v>14505.684</v>
      </c>
    </row>
    <row r="84" spans="1:4" ht="12.75" hidden="1">
      <c r="A84" s="15" t="s">
        <v>65</v>
      </c>
      <c r="D84" s="12">
        <v>0</v>
      </c>
    </row>
    <row r="85" spans="1:4" ht="12.75">
      <c r="A85" s="11"/>
      <c r="D85" s="12"/>
    </row>
    <row r="86" spans="1:4" ht="12.75">
      <c r="A86" s="11" t="s">
        <v>40</v>
      </c>
      <c r="D86" s="12">
        <f>D69+D72+D73+D74+D75+D76+D77+D78+D79+D80+D81+D82+D83+D84</f>
        <v>273745.726</v>
      </c>
    </row>
    <row r="87" spans="1:4" ht="12.75">
      <c r="A87" s="11"/>
      <c r="D87" s="12"/>
    </row>
    <row r="88" spans="1:4" ht="12.75">
      <c r="A88" t="s">
        <v>69</v>
      </c>
      <c r="D88" s="12">
        <f>C65-D86</f>
        <v>28121.803999999946</v>
      </c>
    </row>
    <row r="90" ht="12.75">
      <c r="D9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40"/>
  <dimension ref="A1:G73"/>
  <sheetViews>
    <sheetView zoomScalePageLayoutView="0" workbookViewId="0" topLeftCell="A10">
      <selection activeCell="G65" sqref="G65:K76"/>
    </sheetView>
  </sheetViews>
  <sheetFormatPr defaultColWidth="9.140625" defaultRowHeight="12.75"/>
  <cols>
    <col min="1" max="1" width="14.140625" style="0" customWidth="1"/>
    <col min="2" max="2" width="14.57421875" style="0" customWidth="1"/>
    <col min="3" max="3" width="15.00390625" style="0" customWidth="1"/>
    <col min="4" max="4" width="15.7109375" style="0" customWidth="1"/>
  </cols>
  <sheetData>
    <row r="1" spans="1:6" ht="26.25" customHeight="1">
      <c r="A1" s="27"/>
      <c r="B1" s="27"/>
      <c r="C1" s="27"/>
      <c r="D1" s="27"/>
      <c r="E1" s="27"/>
      <c r="F1" s="27"/>
    </row>
    <row r="3" spans="1:7" ht="12.75">
      <c r="A3" s="1" t="s">
        <v>0</v>
      </c>
      <c r="B3" s="2" t="s">
        <v>1</v>
      </c>
      <c r="C3" s="1" t="s">
        <v>55</v>
      </c>
      <c r="D3" s="1"/>
      <c r="E3" s="1" t="s">
        <v>2</v>
      </c>
      <c r="F3" s="3">
        <v>17</v>
      </c>
      <c r="G3">
        <v>2015</v>
      </c>
    </row>
    <row r="5" spans="1:5" ht="12.75">
      <c r="A5" t="s">
        <v>3</v>
      </c>
      <c r="D5" s="4">
        <v>3163.1</v>
      </c>
      <c r="E5" s="5" t="s">
        <v>41</v>
      </c>
    </row>
    <row r="6" spans="1:5" ht="12.75">
      <c r="A6" t="s">
        <v>4</v>
      </c>
      <c r="D6" s="4">
        <v>62</v>
      </c>
      <c r="E6" s="5"/>
    </row>
    <row r="7" spans="1:5" ht="12.75">
      <c r="A7" t="s">
        <v>5</v>
      </c>
      <c r="D7" s="4">
        <v>125</v>
      </c>
      <c r="E7" s="5" t="s">
        <v>6</v>
      </c>
    </row>
    <row r="8" spans="1:5" ht="12.75">
      <c r="A8" t="s">
        <v>7</v>
      </c>
      <c r="D8" s="4">
        <v>373.7</v>
      </c>
      <c r="E8" s="5" t="s">
        <v>41</v>
      </c>
    </row>
    <row r="9" spans="1:5" ht="12.75">
      <c r="A9" t="s">
        <v>8</v>
      </c>
      <c r="D9" s="4">
        <v>4248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721123.5300000001</v>
      </c>
      <c r="C13" s="8">
        <f>SUM(C14:C25)</f>
        <v>719601.8</v>
      </c>
      <c r="D13" s="8">
        <f>SUM(D14:D25)</f>
        <v>1521.7300000000178</v>
      </c>
    </row>
    <row r="14" spans="1:4" ht="12.75" customHeight="1" hidden="1">
      <c r="A14" s="9" t="s">
        <v>25</v>
      </c>
      <c r="B14" s="8">
        <v>57694.94</v>
      </c>
      <c r="C14" s="8">
        <v>60945.62</v>
      </c>
      <c r="D14" s="8">
        <f aca="true" t="shared" si="0" ref="D14:D25">B14-C14</f>
        <v>-3250.6800000000003</v>
      </c>
    </row>
    <row r="15" spans="1:4" ht="12.75" customHeight="1" hidden="1">
      <c r="A15" s="9" t="s">
        <v>13</v>
      </c>
      <c r="B15" s="8">
        <v>57694.94</v>
      </c>
      <c r="C15" s="13">
        <v>44986.72</v>
      </c>
      <c r="D15" s="8">
        <f t="shared" si="0"/>
        <v>12708.220000000001</v>
      </c>
    </row>
    <row r="16" spans="1:4" ht="12.75" customHeight="1" hidden="1">
      <c r="A16" s="9" t="s">
        <v>14</v>
      </c>
      <c r="B16" s="8">
        <v>57694.94</v>
      </c>
      <c r="C16" s="13">
        <v>58237.83</v>
      </c>
      <c r="D16" s="8">
        <f t="shared" si="0"/>
        <v>-542.8899999999994</v>
      </c>
    </row>
    <row r="17" spans="1:4" ht="12.75" customHeight="1" hidden="1">
      <c r="A17" s="9" t="s">
        <v>15</v>
      </c>
      <c r="B17" s="8">
        <v>57694.94</v>
      </c>
      <c r="C17" s="13">
        <v>52524.1</v>
      </c>
      <c r="D17" s="8">
        <f t="shared" si="0"/>
        <v>5170.840000000004</v>
      </c>
    </row>
    <row r="18" spans="1:4" ht="12.75" customHeight="1" hidden="1">
      <c r="A18" s="9" t="s">
        <v>16</v>
      </c>
      <c r="B18" s="8">
        <v>57694.94</v>
      </c>
      <c r="C18" s="13">
        <v>53131.64</v>
      </c>
      <c r="D18" s="8">
        <f t="shared" si="0"/>
        <v>4563.300000000003</v>
      </c>
    </row>
    <row r="19" spans="1:4" ht="12.75" customHeight="1" hidden="1">
      <c r="A19" s="9" t="s">
        <v>17</v>
      </c>
      <c r="B19" s="8">
        <v>57694.94</v>
      </c>
      <c r="C19" s="13">
        <v>40733.01</v>
      </c>
      <c r="D19" s="8">
        <f t="shared" si="0"/>
        <v>16961.93</v>
      </c>
    </row>
    <row r="20" spans="1:4" ht="12.75" customHeight="1" hidden="1">
      <c r="A20" s="9" t="s">
        <v>18</v>
      </c>
      <c r="B20" s="8">
        <v>57694.94</v>
      </c>
      <c r="C20" s="13">
        <v>61270.43</v>
      </c>
      <c r="D20" s="8">
        <f t="shared" si="0"/>
        <v>-3575.489999999998</v>
      </c>
    </row>
    <row r="21" spans="1:4" ht="12.75" customHeight="1" hidden="1">
      <c r="A21" s="9" t="s">
        <v>19</v>
      </c>
      <c r="B21" s="13">
        <v>63451.79</v>
      </c>
      <c r="C21" s="13">
        <v>62485.5</v>
      </c>
      <c r="D21" s="8">
        <f t="shared" si="0"/>
        <v>966.2900000000009</v>
      </c>
    </row>
    <row r="22" spans="1:4" ht="12.75" customHeight="1" hidden="1">
      <c r="A22" s="9" t="s">
        <v>20</v>
      </c>
      <c r="B22" s="13">
        <v>63451.79</v>
      </c>
      <c r="C22" s="13">
        <v>65948.65</v>
      </c>
      <c r="D22" s="8">
        <f t="shared" si="0"/>
        <v>-2496.8599999999933</v>
      </c>
    </row>
    <row r="23" spans="1:4" ht="12.75" customHeight="1" hidden="1">
      <c r="A23" s="9" t="s">
        <v>21</v>
      </c>
      <c r="B23" s="13">
        <v>63451.79</v>
      </c>
      <c r="C23" s="13">
        <v>83094.05</v>
      </c>
      <c r="D23" s="13">
        <f t="shared" si="0"/>
        <v>-19642.260000000002</v>
      </c>
    </row>
    <row r="24" spans="1:4" ht="12.75" customHeight="1" hidden="1">
      <c r="A24" s="9" t="s">
        <v>22</v>
      </c>
      <c r="B24" s="13">
        <v>63451.79</v>
      </c>
      <c r="C24" s="13">
        <v>69611.33</v>
      </c>
      <c r="D24" s="13">
        <f t="shared" si="0"/>
        <v>-6159.540000000001</v>
      </c>
    </row>
    <row r="25" spans="1:4" ht="12.75" customHeight="1" hidden="1">
      <c r="A25" s="9" t="s">
        <v>23</v>
      </c>
      <c r="B25" s="13">
        <v>63451.79</v>
      </c>
      <c r="C25" s="13">
        <v>66632.92</v>
      </c>
      <c r="D25" s="13">
        <f t="shared" si="0"/>
        <v>-3181.1299999999974</v>
      </c>
    </row>
    <row r="26" spans="1:4" ht="12.75" customHeight="1" hidden="1">
      <c r="A26" s="7" t="s">
        <v>24</v>
      </c>
      <c r="B26" s="8">
        <f>SUM(B27:B38)</f>
        <v>0</v>
      </c>
      <c r="C26" s="8">
        <f>SUM(C27:C38)</f>
        <v>0</v>
      </c>
      <c r="D26" s="8">
        <f>SUM(D27:D38)</f>
        <v>0</v>
      </c>
    </row>
    <row r="27" spans="1:4" ht="12.75" customHeight="1" hidden="1">
      <c r="A27" s="9" t="s">
        <v>25</v>
      </c>
      <c r="B27" s="8"/>
      <c r="C27" s="8"/>
      <c r="D27" s="8">
        <f aca="true" t="shared" si="1" ref="D27:D38">B27-C27</f>
        <v>0</v>
      </c>
    </row>
    <row r="28" spans="1:4" ht="12.75" customHeight="1" hidden="1">
      <c r="A28" s="9" t="s">
        <v>13</v>
      </c>
      <c r="B28" s="13"/>
      <c r="C28" s="13"/>
      <c r="D28" s="8">
        <f t="shared" si="1"/>
        <v>0</v>
      </c>
    </row>
    <row r="29" spans="1:4" ht="12.75" customHeight="1" hidden="1">
      <c r="A29" s="9" t="s">
        <v>14</v>
      </c>
      <c r="B29" s="13"/>
      <c r="C29" s="13"/>
      <c r="D29" s="8">
        <f t="shared" si="1"/>
        <v>0</v>
      </c>
    </row>
    <row r="30" spans="1:4" ht="12.75" customHeight="1" hidden="1">
      <c r="A30" s="9" t="s">
        <v>15</v>
      </c>
      <c r="B30" s="13"/>
      <c r="C30" s="13"/>
      <c r="D30" s="8">
        <f t="shared" si="1"/>
        <v>0</v>
      </c>
    </row>
    <row r="31" spans="1:4" ht="12.75" customHeight="1" hidden="1">
      <c r="A31" s="9" t="s">
        <v>16</v>
      </c>
      <c r="B31" s="13"/>
      <c r="C31" s="13"/>
      <c r="D31" s="8">
        <f t="shared" si="1"/>
        <v>0</v>
      </c>
    </row>
    <row r="32" spans="1:4" ht="12.75" customHeight="1" hidden="1">
      <c r="A32" s="9" t="s">
        <v>17</v>
      </c>
      <c r="B32" s="13"/>
      <c r="C32" s="13"/>
      <c r="D32" s="8">
        <f t="shared" si="1"/>
        <v>0</v>
      </c>
    </row>
    <row r="33" spans="1:4" ht="12.75" customHeight="1" hidden="1">
      <c r="A33" s="9" t="s">
        <v>18</v>
      </c>
      <c r="B33" s="13"/>
      <c r="C33" s="13"/>
      <c r="D33" s="8">
        <f t="shared" si="1"/>
        <v>0</v>
      </c>
    </row>
    <row r="34" spans="1:4" ht="12.75" customHeight="1" hidden="1">
      <c r="A34" s="9" t="s">
        <v>19</v>
      </c>
      <c r="B34" s="13"/>
      <c r="C34" s="13"/>
      <c r="D34" s="8">
        <f t="shared" si="1"/>
        <v>0</v>
      </c>
    </row>
    <row r="35" spans="1:4" ht="12.75" customHeight="1" hidden="1">
      <c r="A35" s="9" t="s">
        <v>20</v>
      </c>
      <c r="B35" s="13"/>
      <c r="C35" s="13"/>
      <c r="D35" s="8">
        <f t="shared" si="1"/>
        <v>0</v>
      </c>
    </row>
    <row r="36" spans="1:4" ht="12.75" customHeight="1" hidden="1">
      <c r="A36" s="9" t="s">
        <v>21</v>
      </c>
      <c r="B36" s="13"/>
      <c r="C36" s="13"/>
      <c r="D36" s="13">
        <f t="shared" si="1"/>
        <v>0</v>
      </c>
    </row>
    <row r="37" spans="1:4" ht="12.75" customHeight="1" hidden="1">
      <c r="A37" s="9" t="s">
        <v>22</v>
      </c>
      <c r="B37" s="13"/>
      <c r="C37" s="13"/>
      <c r="D37" s="13">
        <f t="shared" si="1"/>
        <v>0</v>
      </c>
    </row>
    <row r="38" spans="1:4" ht="12.75" customHeight="1" hidden="1">
      <c r="A38" s="9" t="s">
        <v>23</v>
      </c>
      <c r="B38" s="10"/>
      <c r="C38" s="10"/>
      <c r="D38" s="13">
        <f t="shared" si="1"/>
        <v>0</v>
      </c>
    </row>
    <row r="39" spans="1:4" ht="12.75" customHeight="1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customHeight="1" hidden="1">
      <c r="A40" s="9" t="s">
        <v>22</v>
      </c>
      <c r="B40" s="13"/>
      <c r="C40" s="13">
        <v>0</v>
      </c>
      <c r="D40" s="13">
        <f>B40-C40</f>
        <v>0</v>
      </c>
    </row>
    <row r="41" spans="1:4" ht="12.75" customHeight="1" hidden="1">
      <c r="A41" s="9" t="s">
        <v>23</v>
      </c>
      <c r="B41" s="13"/>
      <c r="C41" s="13"/>
      <c r="D41" s="13">
        <f>B41-C41</f>
        <v>0</v>
      </c>
    </row>
    <row r="42" spans="1:4" ht="12.75" customHeight="1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customHeight="1" hidden="1">
      <c r="A43" s="9" t="s">
        <v>19</v>
      </c>
      <c r="B43" s="8"/>
      <c r="C43" s="8"/>
      <c r="D43" s="8">
        <f>B43-C43</f>
        <v>0</v>
      </c>
    </row>
    <row r="44" spans="1:4" ht="12.75" customHeight="1" hidden="1">
      <c r="A44" s="9" t="s">
        <v>20</v>
      </c>
      <c r="B44" s="13"/>
      <c r="C44" s="13"/>
      <c r="D44" s="8">
        <f>B44-C44</f>
        <v>0</v>
      </c>
    </row>
    <row r="45" spans="1:4" ht="12.75" customHeight="1" hidden="1">
      <c r="A45" s="9" t="s">
        <v>21</v>
      </c>
      <c r="B45" s="13"/>
      <c r="C45" s="13"/>
      <c r="D45" s="13">
        <f>B45-C45</f>
        <v>0</v>
      </c>
    </row>
    <row r="46" spans="1:4" ht="12.75" customHeight="1" hidden="1">
      <c r="A46" s="9" t="s">
        <v>22</v>
      </c>
      <c r="B46" s="13"/>
      <c r="C46" s="13"/>
      <c r="D46" s="13">
        <f>B46-C46</f>
        <v>0</v>
      </c>
    </row>
    <row r="47" spans="1:4" ht="12.75" customHeight="1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721123.5300000001</v>
      </c>
      <c r="C48" s="8">
        <f>C13+C26</f>
        <v>719601.8</v>
      </c>
      <c r="D48" s="8">
        <f>D13+D26</f>
        <v>1521.7300000000178</v>
      </c>
    </row>
    <row r="50" spans="1:4" ht="12.75">
      <c r="A50" t="s">
        <v>27</v>
      </c>
      <c r="D50" s="12">
        <f>D48</f>
        <v>1521.7300000000178</v>
      </c>
    </row>
    <row r="52" spans="1:4" ht="12.75">
      <c r="A52" s="11" t="s">
        <v>28</v>
      </c>
      <c r="D52" s="12">
        <f>D53+D54</f>
        <v>63040.583</v>
      </c>
    </row>
    <row r="53" spans="1:4" ht="12.75" hidden="1">
      <c r="A53" s="11" t="s">
        <v>29</v>
      </c>
      <c r="D53" s="12">
        <f>(2.75*2*D5)+(1.1*5*D5)+(1.21*5*D5)</f>
        <v>53930.854999999996</v>
      </c>
    </row>
    <row r="54" spans="1:4" ht="12.75" hidden="1">
      <c r="A54" s="11" t="s">
        <v>30</v>
      </c>
      <c r="D54" s="12">
        <f>(0.24*12*D5)</f>
        <v>9109.728</v>
      </c>
    </row>
    <row r="55" spans="1:4" ht="12.75">
      <c r="A55" s="11" t="s">
        <v>31</v>
      </c>
      <c r="D55" s="12">
        <f>(0.66*2*D5)</f>
        <v>4175.292</v>
      </c>
    </row>
    <row r="56" spans="1:4" ht="12.75">
      <c r="A56" s="11" t="s">
        <v>81</v>
      </c>
      <c r="D56" s="12">
        <f>(0.5*2*D5)+(0.55*5*D5)+(0.6*5*D5)</f>
        <v>21350.925</v>
      </c>
    </row>
    <row r="57" spans="1:4" ht="12.75">
      <c r="A57" s="11" t="s">
        <v>90</v>
      </c>
      <c r="D57" s="12">
        <f>(2.2*7*D5)+(2.42*5*D5)</f>
        <v>86985.25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4554.864</v>
      </c>
    </row>
    <row r="60" spans="1:4" ht="12.75">
      <c r="A60" s="11" t="s">
        <v>34</v>
      </c>
      <c r="D60" s="12">
        <f>(3.3*2*D5)+(1.2*5*D5)+(1.32*5*D5)</f>
        <v>60731.520000000004</v>
      </c>
    </row>
    <row r="61" spans="1:4" ht="12.75">
      <c r="A61" s="11" t="s">
        <v>35</v>
      </c>
      <c r="D61" s="12">
        <f>(2.2*2*D5)+(4.1*5*D5)+(4.51*5*D5)</f>
        <v>150089.09499999997</v>
      </c>
    </row>
    <row r="62" spans="1:4" ht="12.75">
      <c r="A62" s="11" t="s">
        <v>36</v>
      </c>
      <c r="D62" s="12">
        <f>(0.24*7*D5)+(0.26*5*D5)</f>
        <v>9426.038</v>
      </c>
    </row>
    <row r="63" spans="1:4" ht="12.75">
      <c r="A63" s="11" t="s">
        <v>82</v>
      </c>
      <c r="D63" s="12">
        <f>(0.77*2*D5)+(3.2*5*D5)+(3.52*5*D5)</f>
        <v>111151.334</v>
      </c>
    </row>
    <row r="64" spans="1:7" ht="12.75">
      <c r="A64" s="11" t="s">
        <v>37</v>
      </c>
      <c r="D64" s="12">
        <f>2.25*12*D6</f>
        <v>1674</v>
      </c>
      <c r="G64" s="17"/>
    </row>
    <row r="65" spans="1:7" ht="12.75">
      <c r="A65" s="11" t="s">
        <v>38</v>
      </c>
      <c r="D65" s="12">
        <v>251274</v>
      </c>
      <c r="G65" s="17"/>
    </row>
    <row r="66" spans="1:7" ht="12.75">
      <c r="A66" s="11" t="s">
        <v>39</v>
      </c>
      <c r="D66" s="12">
        <f>(1.76*2*D5)+(0.75*5*D5)+(0.83*5*D5)</f>
        <v>36122.602</v>
      </c>
      <c r="G66" s="17"/>
    </row>
    <row r="67" spans="1:7" ht="12.75" hidden="1">
      <c r="A67" s="15" t="s">
        <v>65</v>
      </c>
      <c r="D67" s="12">
        <v>0</v>
      </c>
      <c r="G67" s="17"/>
    </row>
    <row r="68" spans="1:7" ht="12.75">
      <c r="A68" s="11"/>
      <c r="D68" s="12"/>
      <c r="G68" s="17"/>
    </row>
    <row r="69" spans="1:7" ht="12.75">
      <c r="A69" s="11" t="s">
        <v>40</v>
      </c>
      <c r="D69" s="12">
        <f>D52+D55+D56+D57+D58+D59+D60+D61+D62+D63+D64+D65+D66+D67</f>
        <v>800575.5029999999</v>
      </c>
      <c r="G69" s="18"/>
    </row>
    <row r="70" spans="1:7" ht="12.75">
      <c r="A70" s="11"/>
      <c r="D70" s="12"/>
      <c r="G70" s="18"/>
    </row>
    <row r="71" spans="1:7" ht="12.75">
      <c r="A71" t="s">
        <v>69</v>
      </c>
      <c r="D71" s="12">
        <f>C48-D69</f>
        <v>-80973.70299999986</v>
      </c>
      <c r="G71" s="18"/>
    </row>
    <row r="72" ht="12.75">
      <c r="G72" s="18"/>
    </row>
    <row r="73" spans="4:7" ht="12.75">
      <c r="D73" s="12"/>
      <c r="G73" s="1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41"/>
  <dimension ref="A1:G73"/>
  <sheetViews>
    <sheetView zoomScalePageLayoutView="0" workbookViewId="0" topLeftCell="A7">
      <selection activeCell="G65" sqref="G65:K75"/>
    </sheetView>
  </sheetViews>
  <sheetFormatPr defaultColWidth="9.140625" defaultRowHeight="12.75"/>
  <cols>
    <col min="1" max="1" width="15.8515625" style="0" customWidth="1"/>
    <col min="2" max="2" width="15.00390625" style="0" customWidth="1"/>
    <col min="3" max="3" width="14.00390625" style="0" customWidth="1"/>
    <col min="4" max="4" width="13.421875" style="0" customWidth="1"/>
  </cols>
  <sheetData>
    <row r="1" spans="1:6" ht="25.5" customHeight="1">
      <c r="A1" s="27"/>
      <c r="B1" s="27"/>
      <c r="C1" s="27"/>
      <c r="D1" s="27"/>
      <c r="E1" s="27"/>
      <c r="F1" s="27"/>
    </row>
    <row r="3" spans="1:7" ht="12.75" customHeight="1">
      <c r="A3" s="1" t="s">
        <v>0</v>
      </c>
      <c r="B3" s="2" t="s">
        <v>1</v>
      </c>
      <c r="C3" s="1" t="s">
        <v>55</v>
      </c>
      <c r="D3" s="1"/>
      <c r="E3" s="1" t="s">
        <v>2</v>
      </c>
      <c r="F3" s="3">
        <v>3</v>
      </c>
      <c r="G3">
        <v>2015</v>
      </c>
    </row>
    <row r="5" spans="1:5" ht="12.75">
      <c r="A5" t="s">
        <v>3</v>
      </c>
      <c r="D5" s="4">
        <v>2133.71</v>
      </c>
      <c r="E5" s="5" t="s">
        <v>41</v>
      </c>
    </row>
    <row r="6" spans="1:5" ht="12.75">
      <c r="A6" t="s">
        <v>4</v>
      </c>
      <c r="D6" s="4">
        <v>45</v>
      </c>
      <c r="E6" s="5"/>
    </row>
    <row r="7" spans="1:5" ht="12.75">
      <c r="A7" t="s">
        <v>5</v>
      </c>
      <c r="D7" s="4">
        <v>94</v>
      </c>
      <c r="E7" s="5" t="s">
        <v>6</v>
      </c>
    </row>
    <row r="8" spans="1:5" ht="12.75">
      <c r="A8" t="s">
        <v>7</v>
      </c>
      <c r="D8" s="4">
        <v>294.7</v>
      </c>
      <c r="E8" s="5" t="s">
        <v>41</v>
      </c>
    </row>
    <row r="9" spans="1:5" ht="12.75">
      <c r="A9" t="s">
        <v>8</v>
      </c>
      <c r="D9" s="4">
        <v>2578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485823.0800000001</v>
      </c>
      <c r="C13" s="8">
        <f>SUM(C14:C25)</f>
        <v>490002.1299999999</v>
      </c>
      <c r="D13" s="8">
        <f>SUM(D14:D25)</f>
        <v>-4179.050000000007</v>
      </c>
    </row>
    <row r="14" spans="1:4" ht="12.75" customHeight="1" hidden="1">
      <c r="A14" s="9" t="s">
        <v>25</v>
      </c>
      <c r="B14" s="8">
        <v>38827.68</v>
      </c>
      <c r="C14" s="8">
        <v>31822.82</v>
      </c>
      <c r="D14" s="8">
        <f aca="true" t="shared" si="0" ref="D14:D25">B14-C14</f>
        <v>7004.860000000001</v>
      </c>
    </row>
    <row r="15" spans="1:4" ht="12.75" customHeight="1" hidden="1">
      <c r="A15" s="9" t="s">
        <v>13</v>
      </c>
      <c r="B15" s="8">
        <v>38827.68</v>
      </c>
      <c r="C15" s="13">
        <v>47723.56</v>
      </c>
      <c r="D15" s="8">
        <f t="shared" si="0"/>
        <v>-8895.879999999997</v>
      </c>
    </row>
    <row r="16" spans="1:4" ht="12.75" customHeight="1" hidden="1">
      <c r="A16" s="9" t="s">
        <v>14</v>
      </c>
      <c r="B16" s="8">
        <v>38827.68</v>
      </c>
      <c r="C16" s="13">
        <v>53161.98</v>
      </c>
      <c r="D16" s="8">
        <f t="shared" si="0"/>
        <v>-14334.300000000003</v>
      </c>
    </row>
    <row r="17" spans="1:4" ht="12.75" customHeight="1" hidden="1">
      <c r="A17" s="9" t="s">
        <v>15</v>
      </c>
      <c r="B17" s="8">
        <v>38827.68</v>
      </c>
      <c r="C17" s="13">
        <v>28777.56</v>
      </c>
      <c r="D17" s="8">
        <f t="shared" si="0"/>
        <v>10050.119999999999</v>
      </c>
    </row>
    <row r="18" spans="1:4" ht="12.75" customHeight="1" hidden="1">
      <c r="A18" s="9" t="s">
        <v>16</v>
      </c>
      <c r="B18" s="8">
        <v>38827.68</v>
      </c>
      <c r="C18" s="13">
        <v>45078.12</v>
      </c>
      <c r="D18" s="8">
        <f t="shared" si="0"/>
        <v>-6250.440000000002</v>
      </c>
    </row>
    <row r="19" spans="1:4" ht="12.75" customHeight="1" hidden="1">
      <c r="A19" s="9" t="s">
        <v>17</v>
      </c>
      <c r="B19" s="8">
        <v>38896.99</v>
      </c>
      <c r="C19" s="13">
        <v>42618.7</v>
      </c>
      <c r="D19" s="8">
        <f t="shared" si="0"/>
        <v>-3721.709999999999</v>
      </c>
    </row>
    <row r="20" spans="1:4" ht="12.75" customHeight="1" hidden="1">
      <c r="A20" s="9" t="s">
        <v>18</v>
      </c>
      <c r="B20" s="8">
        <v>38896.99</v>
      </c>
      <c r="C20" s="13">
        <v>45832.17</v>
      </c>
      <c r="D20" s="8">
        <f t="shared" si="0"/>
        <v>-6935.18</v>
      </c>
    </row>
    <row r="21" spans="1:4" ht="12.75" customHeight="1" hidden="1">
      <c r="A21" s="9" t="s">
        <v>19</v>
      </c>
      <c r="B21" s="13">
        <v>42778.14</v>
      </c>
      <c r="C21" s="13">
        <v>39817.29</v>
      </c>
      <c r="D21" s="8">
        <f t="shared" si="0"/>
        <v>2960.8499999999985</v>
      </c>
    </row>
    <row r="22" spans="1:4" ht="12.75" customHeight="1" hidden="1">
      <c r="A22" s="9" t="s">
        <v>20</v>
      </c>
      <c r="B22" s="13">
        <v>42778.14</v>
      </c>
      <c r="C22" s="13">
        <v>37590.61</v>
      </c>
      <c r="D22" s="8">
        <f t="shared" si="0"/>
        <v>5187.529999999999</v>
      </c>
    </row>
    <row r="23" spans="1:4" ht="12.75" customHeight="1" hidden="1">
      <c r="A23" s="9" t="s">
        <v>21</v>
      </c>
      <c r="B23" s="13">
        <v>42778.14</v>
      </c>
      <c r="C23" s="13">
        <f>39452.18+1959.86</f>
        <v>41412.04</v>
      </c>
      <c r="D23" s="13">
        <f t="shared" si="0"/>
        <v>1366.0999999999985</v>
      </c>
    </row>
    <row r="24" spans="1:4" ht="12.75" customHeight="1" hidden="1">
      <c r="A24" s="9" t="s">
        <v>22</v>
      </c>
      <c r="B24" s="13">
        <v>42778.14</v>
      </c>
      <c r="C24" s="13">
        <v>38939.1</v>
      </c>
      <c r="D24" s="13">
        <f t="shared" si="0"/>
        <v>3839.040000000001</v>
      </c>
    </row>
    <row r="25" spans="1:4" ht="12.75" customHeight="1" hidden="1">
      <c r="A25" s="9" t="s">
        <v>23</v>
      </c>
      <c r="B25" s="13">
        <v>42778.14</v>
      </c>
      <c r="C25" s="13">
        <v>37228.18</v>
      </c>
      <c r="D25" s="13">
        <f t="shared" si="0"/>
        <v>5549.959999999999</v>
      </c>
    </row>
    <row r="26" spans="1:4" ht="12.75">
      <c r="A26" s="7" t="s">
        <v>24</v>
      </c>
      <c r="B26" s="8">
        <f>SUM(B27:B38)</f>
        <v>522.3</v>
      </c>
      <c r="C26" s="8">
        <f>SUM(C27:C38)</f>
        <v>649.28</v>
      </c>
      <c r="D26" s="8">
        <f>SUM(D27:D38)</f>
        <v>-126.97999999999999</v>
      </c>
    </row>
    <row r="27" spans="1:4" ht="12.75" customHeight="1" hidden="1">
      <c r="A27" s="9" t="s">
        <v>25</v>
      </c>
      <c r="B27" s="8">
        <v>48.68</v>
      </c>
      <c r="C27" s="8">
        <v>28.18</v>
      </c>
      <c r="D27" s="8">
        <f aca="true" t="shared" si="1" ref="D27:D38">B27-C27</f>
        <v>20.5</v>
      </c>
    </row>
    <row r="28" spans="1:4" ht="12.75" customHeight="1" hidden="1">
      <c r="A28" s="9" t="s">
        <v>13</v>
      </c>
      <c r="B28" s="8">
        <v>48.68</v>
      </c>
      <c r="C28" s="13">
        <v>57.93</v>
      </c>
      <c r="D28" s="8">
        <f t="shared" si="1"/>
        <v>-9.25</v>
      </c>
    </row>
    <row r="29" spans="1:4" ht="12.75" customHeight="1" hidden="1">
      <c r="A29" s="9" t="s">
        <v>14</v>
      </c>
      <c r="B29" s="8">
        <v>48.68</v>
      </c>
      <c r="C29" s="13">
        <v>90.17</v>
      </c>
      <c r="D29" s="8">
        <f t="shared" si="1"/>
        <v>-41.49</v>
      </c>
    </row>
    <row r="30" spans="1:4" ht="12.75" customHeight="1" hidden="1">
      <c r="A30" s="9" t="s">
        <v>15</v>
      </c>
      <c r="B30" s="8">
        <v>48.68</v>
      </c>
      <c r="C30" s="13">
        <v>33.97</v>
      </c>
      <c r="D30" s="8">
        <f t="shared" si="1"/>
        <v>14.71</v>
      </c>
    </row>
    <row r="31" spans="1:4" ht="12.75" customHeight="1" hidden="1">
      <c r="A31" s="9" t="s">
        <v>16</v>
      </c>
      <c r="B31" s="8">
        <v>48.68</v>
      </c>
      <c r="C31" s="13">
        <v>0</v>
      </c>
      <c r="D31" s="8">
        <f t="shared" si="1"/>
        <v>48.68</v>
      </c>
    </row>
    <row r="32" spans="1:4" ht="12.75" customHeight="1" hidden="1">
      <c r="A32" s="9" t="s">
        <v>17</v>
      </c>
      <c r="B32" s="8">
        <v>48.95</v>
      </c>
      <c r="C32" s="13">
        <v>45.37</v>
      </c>
      <c r="D32" s="8">
        <f t="shared" si="1"/>
        <v>3.5800000000000054</v>
      </c>
    </row>
    <row r="33" spans="1:4" ht="12.75" customHeight="1" hidden="1">
      <c r="A33" s="9" t="s">
        <v>18</v>
      </c>
      <c r="B33" s="8">
        <v>48.95</v>
      </c>
      <c r="C33" s="13">
        <v>61.65</v>
      </c>
      <c r="D33" s="8">
        <f t="shared" si="1"/>
        <v>-12.699999999999996</v>
      </c>
    </row>
    <row r="34" spans="1:4" ht="12.75" customHeight="1" hidden="1">
      <c r="A34" s="9" t="s">
        <v>19</v>
      </c>
      <c r="B34" s="8">
        <v>45.25</v>
      </c>
      <c r="C34" s="13">
        <v>31.89</v>
      </c>
      <c r="D34" s="8">
        <f t="shared" si="1"/>
        <v>13.36</v>
      </c>
    </row>
    <row r="35" spans="1:4" ht="12.75" customHeight="1" hidden="1">
      <c r="A35" s="9" t="s">
        <v>20</v>
      </c>
      <c r="B35" s="8">
        <v>45.25</v>
      </c>
      <c r="C35" s="13">
        <v>39.52</v>
      </c>
      <c r="D35" s="8">
        <f t="shared" si="1"/>
        <v>5.729999999999997</v>
      </c>
    </row>
    <row r="36" spans="1:4" ht="12.75" customHeight="1" hidden="1">
      <c r="A36" s="9" t="s">
        <v>21</v>
      </c>
      <c r="B36" s="8">
        <v>45.25</v>
      </c>
      <c r="C36" s="13">
        <v>225.35</v>
      </c>
      <c r="D36" s="13">
        <f t="shared" si="1"/>
        <v>-180.1</v>
      </c>
    </row>
    <row r="37" spans="1:4" ht="12.75" customHeight="1" hidden="1">
      <c r="A37" s="9" t="s">
        <v>22</v>
      </c>
      <c r="B37" s="8">
        <v>45.25</v>
      </c>
      <c r="C37" s="13">
        <v>35.25</v>
      </c>
      <c r="D37" s="13">
        <f t="shared" si="1"/>
        <v>10</v>
      </c>
    </row>
    <row r="38" spans="1:4" ht="12.75" customHeight="1" hidden="1">
      <c r="A38" s="9" t="s">
        <v>23</v>
      </c>
      <c r="B38" s="8"/>
      <c r="C38" s="13"/>
      <c r="D38" s="13">
        <f t="shared" si="1"/>
        <v>0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customHeight="1" hidden="1">
      <c r="A40" s="9" t="s">
        <v>22</v>
      </c>
      <c r="B40" s="13"/>
      <c r="C40" s="13"/>
      <c r="D40" s="13">
        <f>B40-C40</f>
        <v>0</v>
      </c>
    </row>
    <row r="41" spans="1:4" ht="12.75" customHeight="1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customHeight="1" hidden="1">
      <c r="A43" s="9" t="s">
        <v>19</v>
      </c>
      <c r="B43" s="8"/>
      <c r="C43" s="8"/>
      <c r="D43" s="8">
        <f>B43-C43</f>
        <v>0</v>
      </c>
    </row>
    <row r="44" spans="1:4" ht="12.75" customHeight="1" hidden="1">
      <c r="A44" s="9" t="s">
        <v>20</v>
      </c>
      <c r="B44" s="13"/>
      <c r="C44" s="13"/>
      <c r="D44" s="8">
        <f>B44-C44</f>
        <v>0</v>
      </c>
    </row>
    <row r="45" spans="1:4" ht="12.75" customHeight="1" hidden="1">
      <c r="A45" s="9" t="s">
        <v>21</v>
      </c>
      <c r="B45" s="13"/>
      <c r="C45" s="13"/>
      <c r="D45" s="13">
        <f>B45-C45</f>
        <v>0</v>
      </c>
    </row>
    <row r="46" spans="1:4" ht="12.75" customHeight="1" hidden="1">
      <c r="A46" s="9" t="s">
        <v>22</v>
      </c>
      <c r="B46" s="13"/>
      <c r="C46" s="13"/>
      <c r="D46" s="13">
        <f>B46-C46</f>
        <v>0</v>
      </c>
    </row>
    <row r="47" spans="1:4" ht="12.75" customHeight="1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486345.38000000006</v>
      </c>
      <c r="C48" s="8">
        <f>C13+C26</f>
        <v>490651.4099999999</v>
      </c>
      <c r="D48" s="8">
        <f>D13+D26</f>
        <v>-4306.030000000006</v>
      </c>
    </row>
    <row r="50" spans="1:4" ht="12.75">
      <c r="A50" t="s">
        <v>27</v>
      </c>
      <c r="D50" s="12">
        <f>D48</f>
        <v>-4306.030000000006</v>
      </c>
    </row>
    <row r="52" spans="1:4" ht="12.75">
      <c r="A52" s="11" t="s">
        <v>28</v>
      </c>
      <c r="D52" s="12">
        <f>D53+D54</f>
        <v>42524.840299999996</v>
      </c>
    </row>
    <row r="53" spans="1:4" ht="12.75" customHeight="1" hidden="1">
      <c r="A53" s="11" t="s">
        <v>29</v>
      </c>
      <c r="D53" s="12">
        <f>(2.75*2*D5)+(1.1*5*D5)+(1.21*5*D5)</f>
        <v>36379.7555</v>
      </c>
    </row>
    <row r="54" spans="1:4" ht="12.75" customHeight="1" hidden="1">
      <c r="A54" s="11" t="s">
        <v>30</v>
      </c>
      <c r="D54" s="12">
        <f>(0.24*12*D5)</f>
        <v>6145.0848</v>
      </c>
    </row>
    <row r="55" spans="1:4" ht="12.75">
      <c r="A55" s="11" t="s">
        <v>31</v>
      </c>
      <c r="D55" s="12">
        <f>(0.66*2*D5)</f>
        <v>2816.4972000000002</v>
      </c>
    </row>
    <row r="56" spans="1:4" ht="12.75">
      <c r="A56" s="11" t="s">
        <v>81</v>
      </c>
      <c r="D56" s="12">
        <f>(0.5*2*D5)+(0.55*5*D5)+(0.6*5*D5)</f>
        <v>14402.5425</v>
      </c>
    </row>
    <row r="57" spans="1:4" ht="12.75">
      <c r="A57" s="11" t="s">
        <v>90</v>
      </c>
      <c r="D57" s="12">
        <f>(2.2*7*D5)+(2.42*5*D5)</f>
        <v>58677.02500000001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3072.5424</v>
      </c>
    </row>
    <row r="60" spans="1:4" ht="12.75">
      <c r="A60" s="11" t="s">
        <v>34</v>
      </c>
      <c r="D60" s="12">
        <f>(3.3*2*D5)+(1.2*5*D5)+(1.32*5*D5)</f>
        <v>40967.232</v>
      </c>
    </row>
    <row r="61" spans="1:4" ht="12.75">
      <c r="A61" s="11" t="s">
        <v>35</v>
      </c>
      <c r="D61" s="12">
        <f>(2.2*2*D5)+(4.1*5*D5)+(4.51*5*D5)</f>
        <v>101244.5395</v>
      </c>
    </row>
    <row r="62" spans="1:4" ht="12.75">
      <c r="A62" s="11" t="s">
        <v>36</v>
      </c>
      <c r="D62" s="12">
        <f>(0.24*7*D5)+(0.26*5*D5)</f>
        <v>6358.4558</v>
      </c>
    </row>
    <row r="63" spans="1:4" ht="12.75">
      <c r="A63" s="11" t="s">
        <v>82</v>
      </c>
      <c r="D63" s="12">
        <f>(0.77*2*D5)+(3.2*5*D5)+(3.52*5*D5)</f>
        <v>74978.56940000001</v>
      </c>
    </row>
    <row r="64" spans="1:4" ht="12.75">
      <c r="A64" s="11" t="s">
        <v>37</v>
      </c>
      <c r="D64" s="12">
        <f>2.25*12*D6</f>
        <v>1215</v>
      </c>
    </row>
    <row r="65" spans="1:4" ht="12.75">
      <c r="A65" s="11" t="s">
        <v>38</v>
      </c>
      <c r="D65" s="12">
        <v>43546</v>
      </c>
    </row>
    <row r="66" spans="1:4" ht="12.75">
      <c r="A66" s="11" t="s">
        <v>39</v>
      </c>
      <c r="D66" s="12">
        <f>(1.76*2*D5)+(0.75*5*D5)+(0.83*5*D5)</f>
        <v>24366.9682</v>
      </c>
    </row>
    <row r="67" spans="1:4" ht="12.75" hidden="1">
      <c r="A67" s="15" t="s">
        <v>65</v>
      </c>
      <c r="D67" s="12">
        <v>0</v>
      </c>
    </row>
    <row r="68" spans="1:4" ht="12.75">
      <c r="A68" s="11"/>
      <c r="D68" s="12"/>
    </row>
    <row r="69" spans="1:4" ht="12.75">
      <c r="A69" s="11" t="s">
        <v>40</v>
      </c>
      <c r="D69" s="12">
        <f>D52+D55+D56+D57+D58+D59+D60+D61+D62+D63+D64+D65+D66+D67</f>
        <v>414170.2123</v>
      </c>
    </row>
    <row r="70" spans="1:7" ht="12.75">
      <c r="A70" s="11"/>
      <c r="D70" s="12"/>
      <c r="G70" s="17"/>
    </row>
    <row r="71" spans="1:7" ht="12.75">
      <c r="A71" t="s">
        <v>69</v>
      </c>
      <c r="D71" s="12">
        <f>C48-D69</f>
        <v>76481.1976999999</v>
      </c>
      <c r="G71" s="18"/>
    </row>
    <row r="73" ht="12.75">
      <c r="D73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3:G93"/>
  <sheetViews>
    <sheetView zoomScalePageLayoutView="0" workbookViewId="0" topLeftCell="A1">
      <selection activeCell="A73" sqref="A73:E104"/>
    </sheetView>
  </sheetViews>
  <sheetFormatPr defaultColWidth="9.140625" defaultRowHeight="12.75"/>
  <cols>
    <col min="1" max="1" width="16.28125" style="0" customWidth="1"/>
    <col min="2" max="2" width="17.00390625" style="0" customWidth="1"/>
    <col min="3" max="3" width="16.28125" style="0" customWidth="1"/>
    <col min="4" max="4" width="17.00390625" style="0" customWidth="1"/>
  </cols>
  <sheetData>
    <row r="3" spans="1:7" ht="12.75">
      <c r="A3" s="1" t="s">
        <v>0</v>
      </c>
      <c r="B3" s="2" t="s">
        <v>1</v>
      </c>
      <c r="C3" s="1" t="s">
        <v>45</v>
      </c>
      <c r="D3" s="1"/>
      <c r="E3" s="1" t="s">
        <v>2</v>
      </c>
      <c r="F3" s="3" t="s">
        <v>46</v>
      </c>
      <c r="G3">
        <v>2015</v>
      </c>
    </row>
    <row r="5" spans="1:5" ht="12.75">
      <c r="A5" t="s">
        <v>3</v>
      </c>
      <c r="D5" s="4">
        <v>3031.1</v>
      </c>
      <c r="E5" s="5" t="s">
        <v>41</v>
      </c>
    </row>
    <row r="6" spans="1:5" ht="12.75">
      <c r="A6" t="s">
        <v>4</v>
      </c>
      <c r="D6" s="4">
        <v>139</v>
      </c>
      <c r="E6" s="5"/>
    </row>
    <row r="7" spans="1:5" ht="12.75">
      <c r="A7" t="s">
        <v>5</v>
      </c>
      <c r="D7" s="4">
        <v>306</v>
      </c>
      <c r="E7" s="5" t="s">
        <v>6</v>
      </c>
    </row>
    <row r="8" spans="1:5" ht="12.75">
      <c r="A8" t="s">
        <v>7</v>
      </c>
      <c r="D8" s="4">
        <v>153</v>
      </c>
      <c r="E8" s="5" t="s">
        <v>41</v>
      </c>
    </row>
    <row r="9" spans="1:5" ht="12.75">
      <c r="A9" t="s">
        <v>8</v>
      </c>
      <c r="D9" s="4">
        <v>134</v>
      </c>
      <c r="E9" s="5" t="s">
        <v>41</v>
      </c>
    </row>
    <row r="10" ht="13.5" customHeight="1"/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622672.52</v>
      </c>
      <c r="C13" s="8">
        <f>SUM(C14:C25)</f>
        <v>551388.11</v>
      </c>
      <c r="D13" s="8">
        <f>SUM(D14:D25)</f>
        <v>71284.40999999997</v>
      </c>
    </row>
    <row r="14" spans="1:4" ht="12.75" hidden="1">
      <c r="A14" s="9" t="s">
        <v>25</v>
      </c>
      <c r="B14" s="8">
        <v>49758.38</v>
      </c>
      <c r="C14" s="8">
        <v>36908.5</v>
      </c>
      <c r="D14" s="8">
        <f aca="true" t="shared" si="0" ref="D14:D25">B14-C14</f>
        <v>12849.879999999997</v>
      </c>
    </row>
    <row r="15" spans="1:4" ht="12.75" hidden="1">
      <c r="A15" s="9" t="s">
        <v>13</v>
      </c>
      <c r="B15" s="8">
        <v>49758.38</v>
      </c>
      <c r="C15" s="13">
        <v>41920.52</v>
      </c>
      <c r="D15" s="8">
        <f t="shared" si="0"/>
        <v>7837.860000000001</v>
      </c>
    </row>
    <row r="16" spans="1:4" ht="12.75" hidden="1">
      <c r="A16" s="9" t="s">
        <v>14</v>
      </c>
      <c r="B16" s="8">
        <v>49758.38</v>
      </c>
      <c r="C16" s="13">
        <v>53272.34</v>
      </c>
      <c r="D16" s="8">
        <f t="shared" si="0"/>
        <v>-3513.959999999999</v>
      </c>
    </row>
    <row r="17" spans="1:4" ht="12.75" hidden="1">
      <c r="A17" s="9" t="s">
        <v>15</v>
      </c>
      <c r="B17" s="8">
        <f>49758.38+707.31</f>
        <v>50465.689999999995</v>
      </c>
      <c r="C17" s="13">
        <v>36236.16</v>
      </c>
      <c r="D17" s="8">
        <f t="shared" si="0"/>
        <v>14229.529999999992</v>
      </c>
    </row>
    <row r="18" spans="1:4" ht="12.75" hidden="1">
      <c r="A18" s="9" t="s">
        <v>16</v>
      </c>
      <c r="B18" s="13">
        <v>49758.38</v>
      </c>
      <c r="C18" s="13">
        <v>39585.27</v>
      </c>
      <c r="D18" s="8">
        <f t="shared" si="0"/>
        <v>10173.11</v>
      </c>
    </row>
    <row r="19" spans="1:4" ht="12.75" hidden="1">
      <c r="A19" s="9" t="s">
        <v>17</v>
      </c>
      <c r="B19" s="13">
        <v>49758.38</v>
      </c>
      <c r="C19" s="13">
        <v>48308.91</v>
      </c>
      <c r="D19" s="8">
        <f t="shared" si="0"/>
        <v>1449.469999999994</v>
      </c>
    </row>
    <row r="20" spans="1:4" ht="12.75" hidden="1">
      <c r="A20" s="9" t="s">
        <v>18</v>
      </c>
      <c r="B20" s="13">
        <v>49758.38</v>
      </c>
      <c r="C20" s="13">
        <v>43369.19</v>
      </c>
      <c r="D20" s="8">
        <f t="shared" si="0"/>
        <v>6389.189999999995</v>
      </c>
    </row>
    <row r="21" spans="1:4" ht="12.75" hidden="1">
      <c r="A21" s="9" t="s">
        <v>19</v>
      </c>
      <c r="B21" s="13">
        <v>54731.31</v>
      </c>
      <c r="C21" s="13">
        <v>50344.6</v>
      </c>
      <c r="D21" s="8">
        <f t="shared" si="0"/>
        <v>4386.709999999999</v>
      </c>
    </row>
    <row r="22" spans="1:4" ht="12.75" hidden="1">
      <c r="A22" s="9" t="s">
        <v>20</v>
      </c>
      <c r="B22" s="13">
        <v>54731.31</v>
      </c>
      <c r="C22" s="13">
        <v>54241.06</v>
      </c>
      <c r="D22" s="8">
        <f t="shared" si="0"/>
        <v>490.25</v>
      </c>
    </row>
    <row r="23" spans="1:4" ht="12.75" hidden="1">
      <c r="A23" s="9" t="s">
        <v>21</v>
      </c>
      <c r="B23" s="13">
        <v>54731.31</v>
      </c>
      <c r="C23" s="13">
        <v>46225.13</v>
      </c>
      <c r="D23" s="13">
        <f t="shared" si="0"/>
        <v>8506.18</v>
      </c>
    </row>
    <row r="24" spans="1:4" ht="12.75" hidden="1">
      <c r="A24" s="9" t="s">
        <v>22</v>
      </c>
      <c r="B24" s="13">
        <v>54731.31</v>
      </c>
      <c r="C24" s="13">
        <v>52961.16</v>
      </c>
      <c r="D24" s="13">
        <f t="shared" si="0"/>
        <v>1770.1499999999942</v>
      </c>
    </row>
    <row r="25" spans="1:4" ht="12.75" hidden="1">
      <c r="A25" s="9" t="s">
        <v>23</v>
      </c>
      <c r="B25" s="13">
        <v>54731.31</v>
      </c>
      <c r="C25" s="13">
        <v>48015.27</v>
      </c>
      <c r="D25" s="13">
        <f t="shared" si="0"/>
        <v>6716.040000000001</v>
      </c>
    </row>
    <row r="26" spans="1:4" ht="12.75">
      <c r="A26" s="7" t="s">
        <v>24</v>
      </c>
      <c r="B26" s="8">
        <f>SUM(B27:B38)</f>
        <v>955.08</v>
      </c>
      <c r="C26" s="8">
        <f>SUM(C27:C38)</f>
        <v>792.91</v>
      </c>
      <c r="D26" s="8">
        <f>SUM(D27:D38)</f>
        <v>162.17000000000002</v>
      </c>
    </row>
    <row r="27" spans="1:4" ht="12.75" hidden="1">
      <c r="A27" s="9" t="s">
        <v>25</v>
      </c>
      <c r="B27" s="8">
        <v>80.34</v>
      </c>
      <c r="C27" s="8">
        <v>134.86</v>
      </c>
      <c r="D27" s="8">
        <f aca="true" t="shared" si="1" ref="D27:D38">B27-C27</f>
        <v>-54.52000000000001</v>
      </c>
    </row>
    <row r="28" spans="1:4" ht="12.75" hidden="1">
      <c r="A28" s="9" t="s">
        <v>13</v>
      </c>
      <c r="B28" s="8">
        <v>80.34</v>
      </c>
      <c r="C28" s="13">
        <v>57.81</v>
      </c>
      <c r="D28" s="8">
        <f t="shared" si="1"/>
        <v>22.53</v>
      </c>
    </row>
    <row r="29" spans="1:4" ht="12.75" hidden="1">
      <c r="A29" s="9" t="s">
        <v>14</v>
      </c>
      <c r="B29" s="8">
        <v>80.34</v>
      </c>
      <c r="C29" s="13">
        <v>65.57</v>
      </c>
      <c r="D29" s="8">
        <f t="shared" si="1"/>
        <v>14.77000000000001</v>
      </c>
    </row>
    <row r="30" spans="1:4" ht="12.75" hidden="1">
      <c r="A30" s="9" t="s">
        <v>15</v>
      </c>
      <c r="B30" s="8">
        <v>80.34</v>
      </c>
      <c r="C30" s="13">
        <v>52.26</v>
      </c>
      <c r="D30" s="8">
        <f t="shared" si="1"/>
        <v>28.080000000000005</v>
      </c>
    </row>
    <row r="31" spans="1:4" ht="12.75" hidden="1">
      <c r="A31" s="9" t="s">
        <v>16</v>
      </c>
      <c r="B31" s="8">
        <v>80.34</v>
      </c>
      <c r="C31" s="13">
        <v>56.44</v>
      </c>
      <c r="D31" s="8">
        <f t="shared" si="1"/>
        <v>23.900000000000006</v>
      </c>
    </row>
    <row r="32" spans="1:4" ht="12.75" hidden="1">
      <c r="A32" s="9" t="s">
        <v>17</v>
      </c>
      <c r="B32" s="8">
        <v>80.34</v>
      </c>
      <c r="C32" s="13">
        <v>70.95</v>
      </c>
      <c r="D32" s="8">
        <f t="shared" si="1"/>
        <v>9.39</v>
      </c>
    </row>
    <row r="33" spans="1:4" ht="12.75" hidden="1">
      <c r="A33" s="9" t="s">
        <v>18</v>
      </c>
      <c r="B33" s="8">
        <v>80.34</v>
      </c>
      <c r="C33" s="13">
        <v>53.08</v>
      </c>
      <c r="D33" s="8">
        <f t="shared" si="1"/>
        <v>27.260000000000005</v>
      </c>
    </row>
    <row r="34" spans="1:4" ht="12.75" hidden="1">
      <c r="A34" s="9" t="s">
        <v>19</v>
      </c>
      <c r="B34" s="8">
        <v>80.34</v>
      </c>
      <c r="C34" s="13">
        <v>50.04</v>
      </c>
      <c r="D34" s="8">
        <f t="shared" si="1"/>
        <v>30.300000000000004</v>
      </c>
    </row>
    <row r="35" spans="1:4" ht="12.75" hidden="1">
      <c r="A35" s="9" t="s">
        <v>20</v>
      </c>
      <c r="B35" s="8">
        <v>80.34</v>
      </c>
      <c r="C35" s="13">
        <v>61.64</v>
      </c>
      <c r="D35" s="8">
        <f t="shared" si="1"/>
        <v>18.700000000000003</v>
      </c>
    </row>
    <row r="36" spans="1:4" ht="12.75" hidden="1">
      <c r="A36" s="9" t="s">
        <v>21</v>
      </c>
      <c r="B36" s="13">
        <v>79.07</v>
      </c>
      <c r="C36" s="13">
        <v>52.57</v>
      </c>
      <c r="D36" s="13">
        <f t="shared" si="1"/>
        <v>26.499999999999993</v>
      </c>
    </row>
    <row r="37" spans="1:4" ht="12.75" hidden="1">
      <c r="A37" s="9" t="s">
        <v>22</v>
      </c>
      <c r="B37" s="13">
        <v>77.8</v>
      </c>
      <c r="C37" s="13">
        <v>75.29</v>
      </c>
      <c r="D37" s="13">
        <f t="shared" si="1"/>
        <v>2.509999999999991</v>
      </c>
    </row>
    <row r="38" spans="1:4" ht="12.75" hidden="1">
      <c r="A38" s="9" t="s">
        <v>23</v>
      </c>
      <c r="B38" s="13">
        <v>75.15</v>
      </c>
      <c r="C38" s="13">
        <v>62.4</v>
      </c>
      <c r="D38" s="13">
        <f t="shared" si="1"/>
        <v>12.750000000000007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 t="e">
        <f>SUM(D40:D41)+#REF!</f>
        <v>#REF!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147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18</v>
      </c>
      <c r="B43" s="8"/>
      <c r="C43" s="8"/>
      <c r="D43" s="8">
        <f>B43-C43</f>
        <v>0</v>
      </c>
    </row>
    <row r="44" spans="1:4" ht="12.75" hidden="1">
      <c r="A44" s="9" t="s">
        <v>19</v>
      </c>
      <c r="B44" s="13"/>
      <c r="C44" s="13"/>
      <c r="D44" s="8">
        <f>B44-C44</f>
        <v>0</v>
      </c>
    </row>
    <row r="45" spans="1:4" ht="12.75" hidden="1">
      <c r="A45" s="9" t="s">
        <v>20</v>
      </c>
      <c r="B45" s="13"/>
      <c r="C45" s="13"/>
      <c r="D45" s="13">
        <f>B45-C45</f>
        <v>0</v>
      </c>
    </row>
    <row r="46" spans="1:4" ht="12.75" hidden="1">
      <c r="A46" s="9" t="s">
        <v>21</v>
      </c>
      <c r="B46" s="13"/>
      <c r="C46" s="13"/>
      <c r="D46" s="13">
        <f>B46-C46</f>
        <v>0</v>
      </c>
    </row>
    <row r="47" spans="1:4" ht="12.75" hidden="1">
      <c r="A47" s="9" t="s">
        <v>22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623627.6</v>
      </c>
      <c r="C48" s="8">
        <f>C13+C26</f>
        <v>552181.02</v>
      </c>
      <c r="D48" s="8">
        <f>D13+D26</f>
        <v>71446.57999999997</v>
      </c>
    </row>
    <row r="50" spans="1:4" ht="12.75">
      <c r="A50" t="s">
        <v>27</v>
      </c>
      <c r="D50" s="12">
        <f>D48</f>
        <v>71446.57999999997</v>
      </c>
    </row>
    <row r="52" spans="1:4" ht="10.5" customHeight="1">
      <c r="A52" s="11" t="s">
        <v>28</v>
      </c>
      <c r="D52" s="12">
        <f>D53+D54</f>
        <v>60409.823</v>
      </c>
    </row>
    <row r="53" spans="1:4" ht="12.75" hidden="1">
      <c r="A53" s="11" t="s">
        <v>29</v>
      </c>
      <c r="D53" s="12">
        <f>(2.75*2*D5)+(1.1*5*D5)+(1.21*5*D5)</f>
        <v>51680.255</v>
      </c>
    </row>
    <row r="54" spans="1:4" ht="12.75" hidden="1">
      <c r="A54" s="11" t="s">
        <v>30</v>
      </c>
      <c r="D54" s="12">
        <f>(0.24*12*D5)</f>
        <v>8729.568</v>
      </c>
    </row>
    <row r="55" spans="1:4" ht="12.75">
      <c r="A55" s="11" t="s">
        <v>31</v>
      </c>
      <c r="D55" s="12">
        <f>(0.66*2*D5)</f>
        <v>4001.052</v>
      </c>
    </row>
    <row r="56" spans="1:4" ht="12.75">
      <c r="A56" s="11" t="s">
        <v>81</v>
      </c>
      <c r="D56" s="12">
        <f>(0.6*2*D5)+(0.55*2*D5)</f>
        <v>6971.53</v>
      </c>
    </row>
    <row r="57" spans="1:4" ht="12.75">
      <c r="A57" s="11" t="s">
        <v>90</v>
      </c>
      <c r="D57" s="12">
        <f>(2.2*7*D5)+(2.42*5*D5)</f>
        <v>83355.25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4364.784</v>
      </c>
    </row>
    <row r="60" spans="1:7" ht="12.75">
      <c r="A60" s="11" t="s">
        <v>34</v>
      </c>
      <c r="D60" s="12">
        <f>(3.3*2*D5)+(1.2*5*D5)+(1.32*5*D5)</f>
        <v>58197.12</v>
      </c>
      <c r="G60" s="17"/>
    </row>
    <row r="61" spans="1:7" ht="12.75">
      <c r="A61" s="11" t="s">
        <v>35</v>
      </c>
      <c r="D61" s="12">
        <f>(2.2*2*D5)+(4.1*5*D5)+(4.51*5*D5)</f>
        <v>143825.695</v>
      </c>
      <c r="G61" s="17"/>
    </row>
    <row r="62" spans="1:7" ht="12.75" hidden="1">
      <c r="A62" s="11" t="s">
        <v>36</v>
      </c>
      <c r="D62" s="12">
        <v>0</v>
      </c>
      <c r="G62" s="17"/>
    </row>
    <row r="63" spans="1:7" ht="12.75">
      <c r="A63" s="11" t="s">
        <v>82</v>
      </c>
      <c r="D63" s="12">
        <f>(0.77*2*D5)+(3.2*5*D5)+(3.52*5*D5)</f>
        <v>106512.85399999999</v>
      </c>
      <c r="G63" s="17"/>
    </row>
    <row r="64" spans="1:7" ht="12.75">
      <c r="A64" s="11" t="s">
        <v>37</v>
      </c>
      <c r="D64" s="12">
        <f>2.25*12*D6</f>
        <v>3753</v>
      </c>
      <c r="G64" s="17"/>
    </row>
    <row r="65" spans="1:7" ht="12.75">
      <c r="A65" s="11" t="s">
        <v>38</v>
      </c>
      <c r="D65" s="12">
        <v>69749</v>
      </c>
      <c r="G65" s="17"/>
    </row>
    <row r="66" spans="1:7" ht="12.75">
      <c r="A66" s="11" t="s">
        <v>39</v>
      </c>
      <c r="D66" s="12">
        <f>(1.76*2*D5)+(0.51*5*D5)+(0.57*5*D5)</f>
        <v>27037.411999999997</v>
      </c>
      <c r="G66" s="18"/>
    </row>
    <row r="67" spans="1:7" ht="12.75" hidden="1">
      <c r="A67" s="15" t="s">
        <v>65</v>
      </c>
      <c r="D67" s="12">
        <v>0</v>
      </c>
      <c r="G67" s="17"/>
    </row>
    <row r="68" spans="1:7" ht="12.75">
      <c r="A68" s="11"/>
      <c r="D68" s="12"/>
      <c r="G68" s="18"/>
    </row>
    <row r="69" spans="1:7" ht="12.75">
      <c r="A69" s="11" t="s">
        <v>40</v>
      </c>
      <c r="D69" s="12">
        <f>D52+D55+D56+D57+D58+D59+D60+D61+D62+D63+D64+D65+D66</f>
        <v>568177.52</v>
      </c>
      <c r="G69" s="18"/>
    </row>
    <row r="70" spans="1:7" ht="12.75">
      <c r="A70" s="11"/>
      <c r="D70" s="12"/>
      <c r="G70" s="18"/>
    </row>
    <row r="71" spans="1:7" ht="12.75">
      <c r="A71" t="s">
        <v>68</v>
      </c>
      <c r="D71" s="12">
        <f>C48-D69</f>
        <v>-15996.5</v>
      </c>
      <c r="G71" s="17"/>
    </row>
    <row r="73" ht="12.75">
      <c r="D73" s="12"/>
    </row>
    <row r="74" ht="12.75" hidden="1"/>
    <row r="75" ht="12.75">
      <c r="A75" s="11"/>
    </row>
    <row r="84" ht="12.75">
      <c r="A84" s="17"/>
    </row>
    <row r="85" ht="12.75">
      <c r="A85" s="18"/>
    </row>
    <row r="86" ht="12.75">
      <c r="A86" s="17"/>
    </row>
    <row r="87" ht="12.75">
      <c r="A87" s="18"/>
    </row>
    <row r="88" ht="12.75">
      <c r="A88" s="18"/>
    </row>
    <row r="89" ht="12.75">
      <c r="A89" s="18"/>
    </row>
    <row r="90" ht="12.75">
      <c r="A90" s="17"/>
    </row>
    <row r="91" ht="12.75">
      <c r="A91" s="18"/>
    </row>
    <row r="92" ht="12.75">
      <c r="A92" s="17"/>
    </row>
    <row r="93" ht="12.75">
      <c r="A93" s="18"/>
    </row>
  </sheetData>
  <sheetProtection/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43"/>
  <dimension ref="A3:G73"/>
  <sheetViews>
    <sheetView zoomScalePageLayoutView="0" workbookViewId="0" topLeftCell="A1">
      <selection activeCell="J69" sqref="J69"/>
    </sheetView>
  </sheetViews>
  <sheetFormatPr defaultColWidth="9.140625" defaultRowHeight="12.75"/>
  <cols>
    <col min="1" max="1" width="15.140625" style="0" customWidth="1"/>
    <col min="2" max="2" width="17.00390625" style="0" customWidth="1"/>
    <col min="3" max="3" width="15.140625" style="0" customWidth="1"/>
    <col min="4" max="4" width="15.57421875" style="0" customWidth="1"/>
  </cols>
  <sheetData>
    <row r="3" spans="1:7" ht="12.75">
      <c r="A3" s="1" t="s">
        <v>0</v>
      </c>
      <c r="B3" s="2" t="s">
        <v>1</v>
      </c>
      <c r="C3" s="1" t="s">
        <v>55</v>
      </c>
      <c r="D3" s="1"/>
      <c r="E3" s="1" t="s">
        <v>2</v>
      </c>
      <c r="F3" s="3">
        <v>5</v>
      </c>
      <c r="G3">
        <v>2015</v>
      </c>
    </row>
    <row r="5" spans="1:5" ht="12.75">
      <c r="A5" t="s">
        <v>3</v>
      </c>
      <c r="D5" s="4">
        <v>3174.73</v>
      </c>
      <c r="E5" s="5" t="s">
        <v>41</v>
      </c>
    </row>
    <row r="6" spans="1:5" ht="12.75">
      <c r="A6" t="s">
        <v>4</v>
      </c>
      <c r="D6" s="4">
        <v>61</v>
      </c>
      <c r="E6" s="5"/>
    </row>
    <row r="7" spans="1:5" ht="12.75">
      <c r="A7" t="s">
        <v>5</v>
      </c>
      <c r="D7" s="4">
        <v>130</v>
      </c>
      <c r="E7" s="5" t="s">
        <v>6</v>
      </c>
    </row>
    <row r="8" spans="1:5" ht="12.75">
      <c r="A8" t="s">
        <v>7</v>
      </c>
      <c r="D8" s="4">
        <v>382.5</v>
      </c>
      <c r="E8" s="5" t="s">
        <v>41</v>
      </c>
    </row>
    <row r="9" spans="1:5" ht="12.75">
      <c r="A9" t="s">
        <v>8</v>
      </c>
      <c r="D9" s="4">
        <v>1169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690300.3600000001</v>
      </c>
      <c r="C13" s="8">
        <f>SUM(C14:C25)</f>
        <v>732542.8099999999</v>
      </c>
      <c r="D13" s="8">
        <f>SUM(D14:D25)</f>
        <v>-42242.44999999999</v>
      </c>
    </row>
    <row r="14" spans="1:4" ht="12.75" hidden="1">
      <c r="A14" s="9" t="s">
        <v>25</v>
      </c>
      <c r="B14" s="8">
        <v>56120.43</v>
      </c>
      <c r="C14" s="8">
        <v>56433.82</v>
      </c>
      <c r="D14" s="8">
        <f aca="true" t="shared" si="0" ref="D14:D25">B14-C14</f>
        <v>-313.3899999999994</v>
      </c>
    </row>
    <row r="15" spans="1:4" ht="12.75" hidden="1">
      <c r="A15" s="9" t="s">
        <v>13</v>
      </c>
      <c r="B15" s="8">
        <v>56120.43</v>
      </c>
      <c r="C15" s="13">
        <v>54543.26</v>
      </c>
      <c r="D15" s="8">
        <f t="shared" si="0"/>
        <v>1577.1699999999983</v>
      </c>
    </row>
    <row r="16" spans="1:4" ht="12.75" hidden="1">
      <c r="A16" s="9" t="s">
        <v>14</v>
      </c>
      <c r="B16" s="8">
        <v>56120.43</v>
      </c>
      <c r="C16" s="13">
        <v>81564.42</v>
      </c>
      <c r="D16" s="8">
        <f t="shared" si="0"/>
        <v>-25443.989999999998</v>
      </c>
    </row>
    <row r="17" spans="1:4" ht="12.75" hidden="1">
      <c r="A17" s="9" t="s">
        <v>15</v>
      </c>
      <c r="B17" s="8">
        <v>56120.43</v>
      </c>
      <c r="C17" s="13">
        <v>55345.83</v>
      </c>
      <c r="D17" s="8">
        <f t="shared" si="0"/>
        <v>774.5999999999985</v>
      </c>
    </row>
    <row r="18" spans="1:4" ht="12.75" hidden="1">
      <c r="A18" s="9" t="s">
        <v>16</v>
      </c>
      <c r="B18" s="8">
        <v>56120.43</v>
      </c>
      <c r="C18" s="13">
        <v>43641.38</v>
      </c>
      <c r="D18" s="8">
        <f t="shared" si="0"/>
        <v>12479.050000000003</v>
      </c>
    </row>
    <row r="19" spans="1:4" ht="12.75" hidden="1">
      <c r="A19" s="9" t="s">
        <v>17</v>
      </c>
      <c r="B19" s="8">
        <v>56120.43</v>
      </c>
      <c r="C19" s="13">
        <v>80434.86</v>
      </c>
      <c r="D19" s="8">
        <f t="shared" si="0"/>
        <v>-24314.43</v>
      </c>
    </row>
    <row r="20" spans="1:4" ht="12.75" hidden="1">
      <c r="A20" s="9" t="s">
        <v>18</v>
      </c>
      <c r="B20" s="8">
        <v>56120.43</v>
      </c>
      <c r="C20" s="13">
        <v>55757.65</v>
      </c>
      <c r="D20" s="8">
        <f t="shared" si="0"/>
        <v>362.77999999999884</v>
      </c>
    </row>
    <row r="21" spans="1:4" ht="12.75" hidden="1">
      <c r="A21" s="9" t="s">
        <v>19</v>
      </c>
      <c r="B21" s="13">
        <v>61738.83</v>
      </c>
      <c r="C21" s="13">
        <v>59601.62</v>
      </c>
      <c r="D21" s="8">
        <f t="shared" si="0"/>
        <v>2137.209999999999</v>
      </c>
    </row>
    <row r="22" spans="1:4" ht="12.75" hidden="1">
      <c r="A22" s="9" t="s">
        <v>20</v>
      </c>
      <c r="B22" s="13">
        <v>61738.83</v>
      </c>
      <c r="C22" s="13">
        <v>56745.18</v>
      </c>
      <c r="D22" s="8">
        <f t="shared" si="0"/>
        <v>4993.6500000000015</v>
      </c>
    </row>
    <row r="23" spans="1:4" ht="12.75" hidden="1">
      <c r="A23" s="9" t="s">
        <v>21</v>
      </c>
      <c r="B23" s="13">
        <v>61738.83</v>
      </c>
      <c r="C23" s="13">
        <v>67275.43</v>
      </c>
      <c r="D23" s="13">
        <f t="shared" si="0"/>
        <v>-5536.599999999991</v>
      </c>
    </row>
    <row r="24" spans="1:4" ht="12.75" hidden="1">
      <c r="A24" s="9" t="s">
        <v>22</v>
      </c>
      <c r="B24" s="13">
        <v>56120.43</v>
      </c>
      <c r="C24" s="13">
        <v>57441.94</v>
      </c>
      <c r="D24" s="13">
        <f t="shared" si="0"/>
        <v>-1321.510000000002</v>
      </c>
    </row>
    <row r="25" spans="1:4" ht="12.75" hidden="1">
      <c r="A25" s="9" t="s">
        <v>23</v>
      </c>
      <c r="B25" s="13">
        <v>56120.43</v>
      </c>
      <c r="C25" s="13">
        <v>63757.42</v>
      </c>
      <c r="D25" s="13">
        <f t="shared" si="0"/>
        <v>-7636.989999999998</v>
      </c>
    </row>
    <row r="26" spans="1:4" ht="12.75">
      <c r="A26" s="7" t="s">
        <v>24</v>
      </c>
      <c r="B26" s="8">
        <f>SUM(B27:B38)</f>
        <v>27.609999999999992</v>
      </c>
      <c r="C26" s="8">
        <f>SUM(C27:C38)</f>
        <v>60.699999999999996</v>
      </c>
      <c r="D26" s="8">
        <f>SUM(D27:D38)</f>
        <v>-33.09000000000001</v>
      </c>
    </row>
    <row r="27" spans="1:4" ht="11.25" customHeight="1" hidden="1">
      <c r="A27" s="9" t="s">
        <v>25</v>
      </c>
      <c r="B27" s="8">
        <v>2.51</v>
      </c>
      <c r="C27" s="8">
        <v>3.27</v>
      </c>
      <c r="D27" s="8">
        <f aca="true" t="shared" si="1" ref="D27:D36">B27-C27</f>
        <v>-0.7600000000000002</v>
      </c>
    </row>
    <row r="28" spans="1:4" ht="12.75" hidden="1">
      <c r="A28" s="9" t="s">
        <v>13</v>
      </c>
      <c r="B28" s="8">
        <v>2.51</v>
      </c>
      <c r="C28" s="13">
        <v>3.24</v>
      </c>
      <c r="D28" s="8">
        <f t="shared" si="1"/>
        <v>-0.7300000000000004</v>
      </c>
    </row>
    <row r="29" spans="1:4" ht="12.75" hidden="1">
      <c r="A29" s="9" t="s">
        <v>14</v>
      </c>
      <c r="B29" s="8">
        <v>2.51</v>
      </c>
      <c r="C29" s="13">
        <v>6.7</v>
      </c>
      <c r="D29" s="8">
        <f t="shared" si="1"/>
        <v>-4.19</v>
      </c>
    </row>
    <row r="30" spans="1:4" ht="12.75" hidden="1">
      <c r="A30" s="9" t="s">
        <v>15</v>
      </c>
      <c r="B30" s="8">
        <v>2.51</v>
      </c>
      <c r="C30" s="13">
        <v>7.56</v>
      </c>
      <c r="D30" s="8">
        <f t="shared" si="1"/>
        <v>-5.05</v>
      </c>
    </row>
    <row r="31" spans="1:4" ht="12.75" hidden="1">
      <c r="A31" s="9" t="s">
        <v>16</v>
      </c>
      <c r="B31" s="8">
        <v>2.51</v>
      </c>
      <c r="C31" s="13">
        <v>7.54</v>
      </c>
      <c r="D31" s="8">
        <f t="shared" si="1"/>
        <v>-5.03</v>
      </c>
    </row>
    <row r="32" spans="1:4" ht="12.75" hidden="1">
      <c r="A32" s="9" t="s">
        <v>17</v>
      </c>
      <c r="B32" s="8">
        <v>2.51</v>
      </c>
      <c r="C32" s="13">
        <v>0.13</v>
      </c>
      <c r="D32" s="8">
        <f t="shared" si="1"/>
        <v>2.38</v>
      </c>
    </row>
    <row r="33" spans="1:4" ht="12.75" hidden="1">
      <c r="A33" s="9" t="s">
        <v>18</v>
      </c>
      <c r="B33" s="8">
        <v>2.51</v>
      </c>
      <c r="C33" s="13">
        <v>0</v>
      </c>
      <c r="D33" s="8">
        <f t="shared" si="1"/>
        <v>2.51</v>
      </c>
    </row>
    <row r="34" spans="1:4" ht="12.75" hidden="1">
      <c r="A34" s="9" t="s">
        <v>19</v>
      </c>
      <c r="B34" s="8">
        <v>2.51</v>
      </c>
      <c r="C34" s="13">
        <v>32.26</v>
      </c>
      <c r="D34" s="8">
        <f t="shared" si="1"/>
        <v>-29.75</v>
      </c>
    </row>
    <row r="35" spans="1:4" ht="12.75" hidden="1">
      <c r="A35" s="9" t="s">
        <v>20</v>
      </c>
      <c r="B35" s="8">
        <v>2.51</v>
      </c>
      <c r="C35" s="13">
        <v>0</v>
      </c>
      <c r="D35" s="8">
        <f t="shared" si="1"/>
        <v>2.51</v>
      </c>
    </row>
    <row r="36" spans="1:4" ht="12.75" hidden="1">
      <c r="A36" s="9" t="s">
        <v>21</v>
      </c>
      <c r="B36" s="8">
        <v>2.51</v>
      </c>
      <c r="C36" s="13">
        <v>0</v>
      </c>
      <c r="D36" s="13">
        <f t="shared" si="1"/>
        <v>2.51</v>
      </c>
    </row>
    <row r="37" spans="1:4" ht="12.75" hidden="1">
      <c r="A37" s="9" t="s">
        <v>22</v>
      </c>
      <c r="B37" s="8">
        <v>2.51</v>
      </c>
      <c r="C37" s="13">
        <v>0</v>
      </c>
      <c r="D37" s="13">
        <f>B37-C37</f>
        <v>2.51</v>
      </c>
    </row>
    <row r="38" spans="1:4" ht="12.75" hidden="1">
      <c r="A38" s="9" t="s">
        <v>23</v>
      </c>
      <c r="B38" s="8"/>
      <c r="C38" s="13"/>
      <c r="D38" s="13">
        <f>B38-C38</f>
        <v>0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690327.9700000001</v>
      </c>
      <c r="C48" s="8">
        <f>C13+C26+C39+C42-C39</f>
        <v>732603.5099999999</v>
      </c>
      <c r="D48" s="8">
        <f>D13+D26+D39+D42-D39</f>
        <v>-42275.539999999986</v>
      </c>
    </row>
    <row r="49" ht="12.75">
      <c r="F49" s="22"/>
    </row>
    <row r="50" spans="1:4" ht="12.75">
      <c r="A50" t="s">
        <v>27</v>
      </c>
      <c r="D50" s="12">
        <f>D48</f>
        <v>-42275.539999999986</v>
      </c>
    </row>
    <row r="52" spans="1:7" ht="12.75">
      <c r="A52" s="11" t="s">
        <v>28</v>
      </c>
      <c r="D52" s="12">
        <f>D53+D54</f>
        <v>91051.25639999998</v>
      </c>
      <c r="G52" s="24"/>
    </row>
    <row r="53" spans="1:7" ht="12.75" hidden="1">
      <c r="A53" s="11" t="s">
        <v>29</v>
      </c>
      <c r="D53" s="12">
        <f>(2.15*12*D5)</f>
        <v>81908.03399999999</v>
      </c>
      <c r="G53" s="25" t="s">
        <v>165</v>
      </c>
    </row>
    <row r="54" spans="1:4" ht="12.75" hidden="1">
      <c r="A54" s="11" t="s">
        <v>30</v>
      </c>
      <c r="D54" s="12">
        <f>0.24*12*D5</f>
        <v>9143.2224</v>
      </c>
    </row>
    <row r="55" spans="1:4" ht="12.75">
      <c r="A55" s="11" t="s">
        <v>31</v>
      </c>
      <c r="D55" s="12">
        <f>0.54*12*D5</f>
        <v>20572.2504</v>
      </c>
    </row>
    <row r="56" spans="1:4" ht="12.75" hidden="1">
      <c r="A56" s="11" t="s">
        <v>81</v>
      </c>
      <c r="D56" s="12">
        <v>0</v>
      </c>
    </row>
    <row r="57" spans="1:4" ht="12.75">
      <c r="A57" s="11" t="s">
        <v>90</v>
      </c>
      <c r="D57" s="12">
        <f>(2.72*12*D5)</f>
        <v>103623.1872</v>
      </c>
    </row>
    <row r="58" spans="1:7" ht="12.75" hidden="1">
      <c r="A58" s="11" t="s">
        <v>33</v>
      </c>
      <c r="D58" s="12">
        <v>0</v>
      </c>
      <c r="G58" t="s">
        <v>153</v>
      </c>
    </row>
    <row r="59" spans="1:4" ht="12.75" hidden="1">
      <c r="A59" s="11" t="s">
        <v>80</v>
      </c>
      <c r="D59" s="12"/>
    </row>
    <row r="60" spans="1:4" ht="12.75">
      <c r="A60" s="11" t="s">
        <v>89</v>
      </c>
      <c r="D60" s="12">
        <f>(2.86*12*D5)</f>
        <v>108956.7336</v>
      </c>
    </row>
    <row r="61" spans="1:7" ht="12.75" hidden="1">
      <c r="A61" s="11" t="s">
        <v>35</v>
      </c>
      <c r="D61">
        <v>0</v>
      </c>
      <c r="G61" s="12"/>
    </row>
    <row r="62" spans="1:4" ht="12.75">
      <c r="A62" s="11" t="s">
        <v>36</v>
      </c>
      <c r="D62" s="12">
        <f>(0.34*12*D5)</f>
        <v>12952.8984</v>
      </c>
    </row>
    <row r="63" spans="1:4" ht="12.75">
      <c r="A63" s="11" t="s">
        <v>79</v>
      </c>
      <c r="D63" s="12">
        <f>(0.82*12*D5)+(2.7*12*D5)</f>
        <v>134100.5952</v>
      </c>
    </row>
    <row r="64" spans="1:4" ht="12.75">
      <c r="A64" s="11" t="s">
        <v>37</v>
      </c>
      <c r="D64" s="12">
        <f>2.25*12*D6</f>
        <v>1647</v>
      </c>
    </row>
    <row r="65" spans="1:4" ht="12.75">
      <c r="A65" s="11" t="s">
        <v>38</v>
      </c>
      <c r="D65" s="12">
        <v>37997</v>
      </c>
    </row>
    <row r="66" spans="1:4" ht="12.75">
      <c r="A66" s="11" t="s">
        <v>39</v>
      </c>
      <c r="D66" s="12">
        <f>(1.76*2*D5)+(0.75*5*D5)+(0.83*5*D5)</f>
        <v>36255.4166</v>
      </c>
    </row>
    <row r="67" spans="1:4" ht="12.75" hidden="1">
      <c r="A67" s="15" t="s">
        <v>65</v>
      </c>
      <c r="D67" s="12">
        <f>B39+B42</f>
        <v>0</v>
      </c>
    </row>
    <row r="68" spans="1:4" ht="12.75">
      <c r="A68" s="11"/>
      <c r="D68" s="12"/>
    </row>
    <row r="69" spans="1:4" ht="12.75">
      <c r="A69" s="11" t="s">
        <v>40</v>
      </c>
      <c r="D69" s="12">
        <f>D52+D55+D57+D58+D60+D62+D63+D64+D65+D66</f>
        <v>547156.3378</v>
      </c>
    </row>
    <row r="70" spans="1:4" ht="12.75">
      <c r="A70" s="11"/>
      <c r="D70" s="12"/>
    </row>
    <row r="71" spans="1:4" ht="12.75">
      <c r="A71" t="s">
        <v>68</v>
      </c>
      <c r="D71" s="12">
        <f>C48-D69</f>
        <v>185447.1721999999</v>
      </c>
    </row>
    <row r="73" ht="12.75">
      <c r="D7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44"/>
  <dimension ref="A1:AD96"/>
  <sheetViews>
    <sheetView zoomScalePageLayoutView="0" workbookViewId="0" topLeftCell="X7">
      <selection activeCell="AD65" sqref="AD65:AG71"/>
    </sheetView>
  </sheetViews>
  <sheetFormatPr defaultColWidth="9.140625" defaultRowHeight="12.75"/>
  <cols>
    <col min="1" max="1" width="22.140625" style="0" hidden="1" customWidth="1"/>
    <col min="2" max="2" width="14.8515625" style="0" hidden="1" customWidth="1"/>
    <col min="3" max="3" width="13.421875" style="0" hidden="1" customWidth="1"/>
    <col min="4" max="4" width="13.8515625" style="0" hidden="1" customWidth="1"/>
    <col min="5" max="5" width="6.140625" style="0" hidden="1" customWidth="1"/>
    <col min="6" max="6" width="5.140625" style="0" hidden="1" customWidth="1"/>
    <col min="7" max="7" width="0" style="0" hidden="1" customWidth="1"/>
    <col min="8" max="8" width="19.140625" style="0" hidden="1" customWidth="1"/>
    <col min="9" max="9" width="13.28125" style="0" hidden="1" customWidth="1"/>
    <col min="10" max="10" width="12.7109375" style="0" hidden="1" customWidth="1"/>
    <col min="11" max="11" width="13.7109375" style="0" hidden="1" customWidth="1"/>
    <col min="12" max="12" width="4.57421875" style="0" hidden="1" customWidth="1"/>
    <col min="13" max="13" width="4.8515625" style="0" hidden="1" customWidth="1"/>
    <col min="14" max="15" width="0" style="0" hidden="1" customWidth="1"/>
    <col min="16" max="16" width="17.8515625" style="0" hidden="1" customWidth="1"/>
    <col min="17" max="17" width="13.7109375" style="0" hidden="1" customWidth="1"/>
    <col min="18" max="18" width="13.00390625" style="0" hidden="1" customWidth="1"/>
    <col min="19" max="19" width="12.421875" style="0" hidden="1" customWidth="1"/>
    <col min="20" max="20" width="4.7109375" style="0" hidden="1" customWidth="1"/>
    <col min="21" max="21" width="3.28125" style="0" hidden="1" customWidth="1"/>
    <col min="22" max="23" width="0" style="0" hidden="1" customWidth="1"/>
    <col min="24" max="24" width="15.140625" style="0" customWidth="1"/>
    <col min="25" max="25" width="14.28125" style="0" customWidth="1"/>
    <col min="26" max="26" width="15.421875" style="0" customWidth="1"/>
    <col min="27" max="27" width="14.140625" style="0" customWidth="1"/>
    <col min="29" max="29" width="10.57421875" style="0" bestFit="1" customWidth="1"/>
  </cols>
  <sheetData>
    <row r="1" spans="8:29" ht="25.5" customHeight="1">
      <c r="H1" s="27" t="s">
        <v>124</v>
      </c>
      <c r="I1" s="27"/>
      <c r="J1" s="27"/>
      <c r="K1" s="27"/>
      <c r="L1" s="27"/>
      <c r="M1" s="27"/>
      <c r="P1" s="27" t="s">
        <v>125</v>
      </c>
      <c r="Q1" s="27"/>
      <c r="R1" s="27"/>
      <c r="S1" s="27"/>
      <c r="T1" s="27"/>
      <c r="U1" s="27"/>
      <c r="X1" s="27"/>
      <c r="Y1" s="27"/>
      <c r="Z1" s="27"/>
      <c r="AA1" s="27"/>
      <c r="AB1" s="27"/>
      <c r="AC1" s="27"/>
    </row>
    <row r="3" spans="1:30" ht="12.75">
      <c r="A3" s="1" t="s">
        <v>0</v>
      </c>
      <c r="B3" s="2" t="s">
        <v>1</v>
      </c>
      <c r="C3" s="1" t="s">
        <v>55</v>
      </c>
      <c r="D3" s="1"/>
      <c r="E3" s="1" t="s">
        <v>2</v>
      </c>
      <c r="F3" s="3" t="s">
        <v>53</v>
      </c>
      <c r="G3" s="14" t="s">
        <v>44</v>
      </c>
      <c r="H3" s="1" t="s">
        <v>0</v>
      </c>
      <c r="I3" s="2" t="s">
        <v>1</v>
      </c>
      <c r="J3" s="1" t="s">
        <v>55</v>
      </c>
      <c r="K3" s="1"/>
      <c r="L3" s="1" t="s">
        <v>2</v>
      </c>
      <c r="M3" s="3" t="s">
        <v>53</v>
      </c>
      <c r="N3">
        <v>2013</v>
      </c>
      <c r="P3" s="1" t="s">
        <v>0</v>
      </c>
      <c r="Q3" s="2" t="s">
        <v>1</v>
      </c>
      <c r="R3" s="1" t="s">
        <v>55</v>
      </c>
      <c r="S3" s="1"/>
      <c r="T3" s="1" t="s">
        <v>2</v>
      </c>
      <c r="U3" s="3" t="s">
        <v>53</v>
      </c>
      <c r="V3">
        <v>2014</v>
      </c>
      <c r="X3" s="1" t="s">
        <v>0</v>
      </c>
      <c r="Y3" s="2" t="s">
        <v>1</v>
      </c>
      <c r="Z3" s="1" t="s">
        <v>55</v>
      </c>
      <c r="AA3" s="1"/>
      <c r="AB3" s="1" t="s">
        <v>2</v>
      </c>
      <c r="AC3" s="3" t="s">
        <v>53</v>
      </c>
      <c r="AD3">
        <v>2015</v>
      </c>
    </row>
    <row r="5" spans="1:28" ht="12.75">
      <c r="A5" t="s">
        <v>3</v>
      </c>
      <c r="D5" s="4">
        <v>1555.7</v>
      </c>
      <c r="E5" s="5" t="s">
        <v>41</v>
      </c>
      <c r="H5" t="s">
        <v>3</v>
      </c>
      <c r="K5" s="4">
        <v>1555.7</v>
      </c>
      <c r="L5" s="5" t="s">
        <v>41</v>
      </c>
      <c r="P5" t="s">
        <v>3</v>
      </c>
      <c r="S5" s="4">
        <v>1555.7</v>
      </c>
      <c r="T5" s="5" t="s">
        <v>41</v>
      </c>
      <c r="X5" t="s">
        <v>3</v>
      </c>
      <c r="AA5" s="4">
        <v>1555.7</v>
      </c>
      <c r="AB5" s="5" t="s">
        <v>41</v>
      </c>
    </row>
    <row r="6" spans="1:28" ht="12.75">
      <c r="A6" t="s">
        <v>4</v>
      </c>
      <c r="D6" s="4">
        <v>27</v>
      </c>
      <c r="E6" s="5"/>
      <c r="H6" t="s">
        <v>4</v>
      </c>
      <c r="K6" s="4">
        <v>27</v>
      </c>
      <c r="L6" s="5"/>
      <c r="P6" t="s">
        <v>4</v>
      </c>
      <c r="S6" s="4">
        <v>27</v>
      </c>
      <c r="T6" s="5"/>
      <c r="X6" t="s">
        <v>4</v>
      </c>
      <c r="AA6" s="4">
        <v>27</v>
      </c>
      <c r="AB6" s="5"/>
    </row>
    <row r="7" spans="1:28" ht="12.75">
      <c r="A7" t="s">
        <v>5</v>
      </c>
      <c r="D7" s="4">
        <v>65</v>
      </c>
      <c r="E7" s="5" t="s">
        <v>6</v>
      </c>
      <c r="H7" t="s">
        <v>5</v>
      </c>
      <c r="K7" s="4">
        <v>65</v>
      </c>
      <c r="L7" s="5" t="s">
        <v>6</v>
      </c>
      <c r="P7" t="s">
        <v>5</v>
      </c>
      <c r="S7" s="4">
        <v>65</v>
      </c>
      <c r="T7" s="5" t="s">
        <v>6</v>
      </c>
      <c r="X7" t="s">
        <v>5</v>
      </c>
      <c r="AA7" s="4">
        <v>65</v>
      </c>
      <c r="AB7" s="5" t="s">
        <v>6</v>
      </c>
    </row>
    <row r="8" spans="1:28" ht="12.75">
      <c r="A8" t="s">
        <v>7</v>
      </c>
      <c r="D8" s="4">
        <v>121.2</v>
      </c>
      <c r="E8" s="5" t="s">
        <v>41</v>
      </c>
      <c r="H8" t="s">
        <v>7</v>
      </c>
      <c r="K8" s="4">
        <v>121.2</v>
      </c>
      <c r="L8" s="5" t="s">
        <v>41</v>
      </c>
      <c r="P8" t="s">
        <v>7</v>
      </c>
      <c r="S8" s="4">
        <v>121.2</v>
      </c>
      <c r="T8" s="5" t="s">
        <v>41</v>
      </c>
      <c r="X8" t="s">
        <v>7</v>
      </c>
      <c r="AA8" s="4">
        <v>121.2</v>
      </c>
      <c r="AB8" s="5" t="s">
        <v>41</v>
      </c>
    </row>
    <row r="9" spans="1:28" ht="12.75">
      <c r="A9" t="s">
        <v>8</v>
      </c>
      <c r="D9" s="4">
        <v>4123</v>
      </c>
      <c r="E9" s="5" t="s">
        <v>41</v>
      </c>
      <c r="H9" t="s">
        <v>8</v>
      </c>
      <c r="K9" s="4">
        <v>4123</v>
      </c>
      <c r="L9" s="5" t="s">
        <v>41</v>
      </c>
      <c r="P9" t="s">
        <v>8</v>
      </c>
      <c r="S9" s="4">
        <v>4123</v>
      </c>
      <c r="T9" s="5" t="s">
        <v>41</v>
      </c>
      <c r="X9" t="s">
        <v>8</v>
      </c>
      <c r="AA9" s="4">
        <v>4123</v>
      </c>
      <c r="AB9" s="5" t="s">
        <v>41</v>
      </c>
    </row>
    <row r="12" spans="2:27" ht="12.75">
      <c r="B12" s="6" t="s">
        <v>9</v>
      </c>
      <c r="C12" s="6" t="s">
        <v>10</v>
      </c>
      <c r="D12" s="6" t="s">
        <v>11</v>
      </c>
      <c r="I12" s="6" t="s">
        <v>9</v>
      </c>
      <c r="J12" s="6" t="s">
        <v>10</v>
      </c>
      <c r="K12" s="6" t="s">
        <v>11</v>
      </c>
      <c r="Q12" s="6" t="s">
        <v>9</v>
      </c>
      <c r="R12" s="6" t="s">
        <v>10</v>
      </c>
      <c r="S12" s="6" t="s">
        <v>11</v>
      </c>
      <c r="Y12" s="6" t="s">
        <v>9</v>
      </c>
      <c r="Z12" s="6" t="s">
        <v>10</v>
      </c>
      <c r="AA12" s="6" t="s">
        <v>11</v>
      </c>
    </row>
    <row r="13" spans="1:27" ht="12.75">
      <c r="A13" s="7" t="s">
        <v>12</v>
      </c>
      <c r="B13" s="8">
        <f>SUM(B14:B25)</f>
        <v>93777.64</v>
      </c>
      <c r="C13" s="8">
        <f>SUM(C14:C25)</f>
        <v>90920.37</v>
      </c>
      <c r="D13" s="8">
        <f>SUM(D14:D25)</f>
        <v>2857.2700000000004</v>
      </c>
      <c r="H13" s="7" t="s">
        <v>12</v>
      </c>
      <c r="I13" s="8">
        <f>SUM(I14:I25)+B13</f>
        <v>386856.06000000006</v>
      </c>
      <c r="J13" s="8">
        <f>SUM(J14:J25)+C13</f>
        <v>383849.87999999995</v>
      </c>
      <c r="K13" s="8">
        <f>SUM(K14:K25)+D13</f>
        <v>3006.179999999993</v>
      </c>
      <c r="P13" s="7" t="s">
        <v>12</v>
      </c>
      <c r="Q13" s="8">
        <f>SUM(Q14:Q25)+I13</f>
        <v>711872.8200000001</v>
      </c>
      <c r="R13" s="8">
        <f>SUM(R14:R25)+J13</f>
        <v>699118.44</v>
      </c>
      <c r="S13" s="8">
        <f>SUM(S14:S25)+K13</f>
        <v>12754.379999999986</v>
      </c>
      <c r="X13" s="7" t="s">
        <v>12</v>
      </c>
      <c r="Y13" s="8">
        <f>SUM(Y14:Y25)</f>
        <v>354668.44999999995</v>
      </c>
      <c r="Z13" s="8">
        <f>SUM(Z14:Z25)</f>
        <v>364078.43999999994</v>
      </c>
      <c r="AA13" s="8">
        <f>SUM(AA14:AA25)</f>
        <v>-9409.98999999999</v>
      </c>
    </row>
    <row r="14" spans="1:27" ht="12.75" hidden="1">
      <c r="A14" s="9" t="s">
        <v>25</v>
      </c>
      <c r="B14" s="8"/>
      <c r="C14" s="8"/>
      <c r="D14" s="8">
        <f aca="true" t="shared" si="0" ref="D14:D25">B14-C14</f>
        <v>0</v>
      </c>
      <c r="H14" s="9" t="s">
        <v>25</v>
      </c>
      <c r="I14" s="8">
        <v>23444.41</v>
      </c>
      <c r="J14" s="8">
        <v>20887.04</v>
      </c>
      <c r="K14" s="8">
        <f aca="true" t="shared" si="1" ref="K14:K25">I14-J14</f>
        <v>2557.369999999999</v>
      </c>
      <c r="P14" s="9" t="s">
        <v>25</v>
      </c>
      <c r="Q14" s="8">
        <v>25793.51</v>
      </c>
      <c r="R14" s="8">
        <v>26684.51</v>
      </c>
      <c r="S14" s="8">
        <f aca="true" t="shared" si="2" ref="S14:S25">Q14-R14</f>
        <v>-891</v>
      </c>
      <c r="X14" s="9" t="s">
        <v>25</v>
      </c>
      <c r="Y14" s="8">
        <v>28375.95</v>
      </c>
      <c r="Z14" s="8">
        <v>28183.55</v>
      </c>
      <c r="AA14" s="8">
        <f aca="true" t="shared" si="3" ref="AA14:AA25">Y14-Z14</f>
        <v>192.40000000000146</v>
      </c>
    </row>
    <row r="15" spans="1:27" ht="12.75" hidden="1">
      <c r="A15" s="9" t="s">
        <v>13</v>
      </c>
      <c r="B15" s="13"/>
      <c r="C15" s="13"/>
      <c r="D15" s="8">
        <f t="shared" si="0"/>
        <v>0</v>
      </c>
      <c r="H15" s="9" t="s">
        <v>13</v>
      </c>
      <c r="I15" s="13">
        <v>23444.41</v>
      </c>
      <c r="J15" s="13">
        <v>21911.64</v>
      </c>
      <c r="K15" s="8">
        <f t="shared" si="1"/>
        <v>1532.7700000000004</v>
      </c>
      <c r="P15" s="9" t="s">
        <v>13</v>
      </c>
      <c r="Q15" s="8">
        <v>25793.51</v>
      </c>
      <c r="R15" s="13">
        <v>25510.49</v>
      </c>
      <c r="S15" s="8">
        <f t="shared" si="2"/>
        <v>283.0199999999968</v>
      </c>
      <c r="X15" s="9" t="s">
        <v>13</v>
      </c>
      <c r="Y15" s="8">
        <v>28375.95</v>
      </c>
      <c r="Z15" s="13">
        <v>27360.96</v>
      </c>
      <c r="AA15" s="8">
        <f t="shared" si="3"/>
        <v>1014.9900000000016</v>
      </c>
    </row>
    <row r="16" spans="1:27" ht="12.75" hidden="1">
      <c r="A16" s="9" t="s">
        <v>14</v>
      </c>
      <c r="B16" s="13"/>
      <c r="C16" s="13"/>
      <c r="D16" s="8">
        <f t="shared" si="0"/>
        <v>0</v>
      </c>
      <c r="H16" s="9" t="s">
        <v>14</v>
      </c>
      <c r="I16" s="13">
        <v>23444.41</v>
      </c>
      <c r="J16" s="13">
        <v>25917.21</v>
      </c>
      <c r="K16" s="8">
        <f t="shared" si="1"/>
        <v>-2472.7999999999993</v>
      </c>
      <c r="P16" s="9" t="s">
        <v>14</v>
      </c>
      <c r="Q16" s="8">
        <v>25793.51</v>
      </c>
      <c r="R16" s="13">
        <v>26091.22</v>
      </c>
      <c r="S16" s="8">
        <f t="shared" si="2"/>
        <v>-297.71000000000276</v>
      </c>
      <c r="X16" s="9" t="s">
        <v>14</v>
      </c>
      <c r="Y16" s="8">
        <v>28375.95</v>
      </c>
      <c r="Z16" s="13">
        <v>36894.82</v>
      </c>
      <c r="AA16" s="8">
        <f t="shared" si="3"/>
        <v>-8518.869999999999</v>
      </c>
    </row>
    <row r="17" spans="1:27" ht="12.75" hidden="1">
      <c r="A17" s="9" t="s">
        <v>15</v>
      </c>
      <c r="B17" s="13"/>
      <c r="C17" s="13"/>
      <c r="D17" s="8">
        <f t="shared" si="0"/>
        <v>0</v>
      </c>
      <c r="H17" s="9" t="s">
        <v>15</v>
      </c>
      <c r="I17" s="13">
        <v>23444.41</v>
      </c>
      <c r="J17" s="13">
        <v>24004.81</v>
      </c>
      <c r="K17" s="8">
        <f t="shared" si="1"/>
        <v>-560.4000000000015</v>
      </c>
      <c r="P17" s="9" t="s">
        <v>15</v>
      </c>
      <c r="Q17" s="8">
        <v>25793.51</v>
      </c>
      <c r="R17" s="13">
        <v>22886.06</v>
      </c>
      <c r="S17" s="8">
        <f t="shared" si="2"/>
        <v>2907.449999999997</v>
      </c>
      <c r="X17" s="9" t="s">
        <v>15</v>
      </c>
      <c r="Y17" s="8">
        <v>28375.95</v>
      </c>
      <c r="Z17" s="13">
        <v>27432.17</v>
      </c>
      <c r="AA17" s="8">
        <f t="shared" si="3"/>
        <v>943.7800000000025</v>
      </c>
    </row>
    <row r="18" spans="1:27" ht="12.75" hidden="1">
      <c r="A18" s="9" t="s">
        <v>16</v>
      </c>
      <c r="B18" s="13"/>
      <c r="C18" s="13"/>
      <c r="D18" s="8">
        <f t="shared" si="0"/>
        <v>0</v>
      </c>
      <c r="H18" s="9" t="s">
        <v>16</v>
      </c>
      <c r="I18" s="13">
        <v>23444.41</v>
      </c>
      <c r="J18" s="13">
        <v>23441.25</v>
      </c>
      <c r="K18" s="8">
        <f t="shared" si="1"/>
        <v>3.1599999999998545</v>
      </c>
      <c r="P18" s="9" t="s">
        <v>16</v>
      </c>
      <c r="Q18" s="8">
        <v>25793.51</v>
      </c>
      <c r="R18" s="13">
        <v>26690.66</v>
      </c>
      <c r="S18" s="8">
        <f t="shared" si="2"/>
        <v>-897.1500000000015</v>
      </c>
      <c r="X18" s="9" t="s">
        <v>16</v>
      </c>
      <c r="Y18" s="8">
        <v>28375.95</v>
      </c>
      <c r="Z18" s="13">
        <v>28946.52</v>
      </c>
      <c r="AA18" s="8">
        <f t="shared" si="3"/>
        <v>-570.5699999999997</v>
      </c>
    </row>
    <row r="19" spans="1:27" ht="12.75" hidden="1">
      <c r="A19" s="9" t="s">
        <v>17</v>
      </c>
      <c r="B19" s="13"/>
      <c r="C19" s="13"/>
      <c r="D19" s="8">
        <f t="shared" si="0"/>
        <v>0</v>
      </c>
      <c r="H19" s="9" t="s">
        <v>17</v>
      </c>
      <c r="I19" s="13">
        <v>23444.41</v>
      </c>
      <c r="J19" s="13">
        <v>22936.39</v>
      </c>
      <c r="K19" s="8">
        <f t="shared" si="1"/>
        <v>508.02000000000044</v>
      </c>
      <c r="P19" s="9" t="s">
        <v>17</v>
      </c>
      <c r="Q19" s="8">
        <v>25793.51</v>
      </c>
      <c r="R19" s="13">
        <v>22589.6</v>
      </c>
      <c r="S19" s="8">
        <f t="shared" si="2"/>
        <v>3203.91</v>
      </c>
      <c r="X19" s="9" t="s">
        <v>17</v>
      </c>
      <c r="Y19" s="8">
        <v>28375.95</v>
      </c>
      <c r="Z19" s="13">
        <v>25059.92</v>
      </c>
      <c r="AA19" s="8">
        <f t="shared" si="3"/>
        <v>3316.0300000000025</v>
      </c>
    </row>
    <row r="20" spans="1:27" ht="12.75" hidden="1">
      <c r="A20" s="9" t="s">
        <v>18</v>
      </c>
      <c r="B20" s="13"/>
      <c r="C20" s="13"/>
      <c r="D20" s="8">
        <f t="shared" si="0"/>
        <v>0</v>
      </c>
      <c r="H20" s="9" t="s">
        <v>18</v>
      </c>
      <c r="I20" s="13">
        <v>23444.41</v>
      </c>
      <c r="J20" s="13">
        <v>25029.55</v>
      </c>
      <c r="K20" s="8">
        <f t="shared" si="1"/>
        <v>-1585.1399999999994</v>
      </c>
      <c r="P20" s="9" t="s">
        <v>18</v>
      </c>
      <c r="Q20" s="13">
        <v>28375.95</v>
      </c>
      <c r="R20" s="13">
        <v>26571.94</v>
      </c>
      <c r="S20" s="8">
        <f t="shared" si="2"/>
        <v>1804.010000000002</v>
      </c>
      <c r="X20" s="9" t="s">
        <v>18</v>
      </c>
      <c r="Y20" s="8">
        <v>28375.95</v>
      </c>
      <c r="Z20" s="13">
        <v>29440.23</v>
      </c>
      <c r="AA20" s="8">
        <f t="shared" si="3"/>
        <v>-1064.2799999999988</v>
      </c>
    </row>
    <row r="21" spans="1:27" ht="12.75" hidden="1">
      <c r="A21" s="9" t="s">
        <v>19</v>
      </c>
      <c r="B21" s="13"/>
      <c r="C21" s="13"/>
      <c r="D21" s="8">
        <f t="shared" si="0"/>
        <v>0</v>
      </c>
      <c r="H21" s="9" t="s">
        <v>19</v>
      </c>
      <c r="I21" s="13">
        <v>25793.51</v>
      </c>
      <c r="J21" s="13">
        <v>23679.68</v>
      </c>
      <c r="K21" s="8">
        <f t="shared" si="1"/>
        <v>2113.829999999998</v>
      </c>
      <c r="P21" s="9" t="s">
        <v>19</v>
      </c>
      <c r="Q21" s="13">
        <v>28375.95</v>
      </c>
      <c r="R21" s="13">
        <v>25394.61</v>
      </c>
      <c r="S21" s="8">
        <f t="shared" si="2"/>
        <v>2981.34</v>
      </c>
      <c r="X21" s="9" t="s">
        <v>19</v>
      </c>
      <c r="Y21" s="13">
        <v>31207.36</v>
      </c>
      <c r="Z21" s="13">
        <v>30962.71</v>
      </c>
      <c r="AA21" s="8">
        <f t="shared" si="3"/>
        <v>244.65000000000146</v>
      </c>
    </row>
    <row r="22" spans="1:27" ht="12.75" hidden="1">
      <c r="A22" s="9" t="s">
        <v>20</v>
      </c>
      <c r="B22" s="13">
        <v>23444.41</v>
      </c>
      <c r="C22" s="13">
        <v>17241.6</v>
      </c>
      <c r="D22" s="8">
        <f t="shared" si="0"/>
        <v>6202.810000000001</v>
      </c>
      <c r="H22" s="9" t="s">
        <v>20</v>
      </c>
      <c r="I22" s="13">
        <v>25793.51</v>
      </c>
      <c r="J22" s="13">
        <v>26337.59</v>
      </c>
      <c r="K22" s="8">
        <f t="shared" si="1"/>
        <v>-544.0800000000017</v>
      </c>
      <c r="P22" s="9" t="s">
        <v>20</v>
      </c>
      <c r="Q22" s="13">
        <v>28375.95</v>
      </c>
      <c r="R22" s="13">
        <v>29743.11</v>
      </c>
      <c r="S22" s="8">
        <f t="shared" si="2"/>
        <v>-1367.1599999999999</v>
      </c>
      <c r="X22" s="9" t="s">
        <v>20</v>
      </c>
      <c r="Y22" s="13">
        <v>31207.36</v>
      </c>
      <c r="Z22" s="13">
        <v>27620.22</v>
      </c>
      <c r="AA22" s="8">
        <f t="shared" si="3"/>
        <v>3587.1399999999994</v>
      </c>
    </row>
    <row r="23" spans="1:27" ht="12.75" hidden="1">
      <c r="A23" s="9" t="s">
        <v>21</v>
      </c>
      <c r="B23" s="13">
        <v>23444.41</v>
      </c>
      <c r="C23" s="13">
        <v>22176.86</v>
      </c>
      <c r="D23" s="13">
        <f t="shared" si="0"/>
        <v>1267.5499999999993</v>
      </c>
      <c r="H23" s="9" t="s">
        <v>21</v>
      </c>
      <c r="I23" s="13">
        <v>25793.51</v>
      </c>
      <c r="J23" s="13">
        <v>24874.36</v>
      </c>
      <c r="K23" s="13">
        <f t="shared" si="1"/>
        <v>919.1499999999978</v>
      </c>
      <c r="P23" s="9" t="s">
        <v>21</v>
      </c>
      <c r="Q23" s="13">
        <v>28375.95</v>
      </c>
      <c r="R23" s="13">
        <v>27970.61</v>
      </c>
      <c r="S23" s="13">
        <f t="shared" si="2"/>
        <v>405.34000000000015</v>
      </c>
      <c r="X23" s="9" t="s">
        <v>21</v>
      </c>
      <c r="Y23" s="13">
        <v>31207.36</v>
      </c>
      <c r="Z23" s="13">
        <v>30368.64</v>
      </c>
      <c r="AA23" s="13">
        <f t="shared" si="3"/>
        <v>838.7200000000012</v>
      </c>
    </row>
    <row r="24" spans="1:27" ht="12.75" hidden="1">
      <c r="A24" s="9" t="s">
        <v>22</v>
      </c>
      <c r="B24" s="13">
        <v>23444.41</v>
      </c>
      <c r="C24" s="13">
        <v>26669.55</v>
      </c>
      <c r="D24" s="13">
        <f t="shared" si="0"/>
        <v>-3225.1399999999994</v>
      </c>
      <c r="H24" s="9" t="s">
        <v>22</v>
      </c>
      <c r="I24" s="13">
        <v>25793.51</v>
      </c>
      <c r="J24" s="13">
        <v>26749.14</v>
      </c>
      <c r="K24" s="13">
        <f t="shared" si="1"/>
        <v>-955.630000000001</v>
      </c>
      <c r="P24" s="9" t="s">
        <v>22</v>
      </c>
      <c r="Q24" s="13">
        <v>28375.95</v>
      </c>
      <c r="R24" s="13">
        <v>28912.09</v>
      </c>
      <c r="S24" s="13">
        <f t="shared" si="2"/>
        <v>-536.1399999999994</v>
      </c>
      <c r="X24" s="9" t="s">
        <v>22</v>
      </c>
      <c r="Y24" s="13">
        <v>31207.36</v>
      </c>
      <c r="Z24" s="13">
        <v>39807.48</v>
      </c>
      <c r="AA24" s="13">
        <f t="shared" si="3"/>
        <v>-8600.120000000003</v>
      </c>
    </row>
    <row r="25" spans="1:27" ht="12.75" hidden="1">
      <c r="A25" s="9" t="s">
        <v>23</v>
      </c>
      <c r="B25" s="13">
        <v>23444.41</v>
      </c>
      <c r="C25" s="13">
        <v>24832.36</v>
      </c>
      <c r="D25" s="13">
        <f t="shared" si="0"/>
        <v>-1387.9500000000007</v>
      </c>
      <c r="H25" s="9" t="s">
        <v>23</v>
      </c>
      <c r="I25" s="13">
        <v>25793.51</v>
      </c>
      <c r="J25" s="13">
        <v>27160.85</v>
      </c>
      <c r="K25" s="13">
        <f t="shared" si="1"/>
        <v>-1367.3400000000001</v>
      </c>
      <c r="P25" s="9" t="s">
        <v>23</v>
      </c>
      <c r="Q25" s="13">
        <v>28375.95</v>
      </c>
      <c r="R25" s="13">
        <v>26223.66</v>
      </c>
      <c r="S25" s="13">
        <f t="shared" si="2"/>
        <v>2152.290000000001</v>
      </c>
      <c r="X25" s="9" t="s">
        <v>23</v>
      </c>
      <c r="Y25" s="13">
        <v>31207.36</v>
      </c>
      <c r="Z25" s="13">
        <v>32001.22</v>
      </c>
      <c r="AA25" s="13">
        <f t="shared" si="3"/>
        <v>-793.8600000000006</v>
      </c>
    </row>
    <row r="26" spans="1:29" ht="12.75">
      <c r="A26" s="7" t="s">
        <v>24</v>
      </c>
      <c r="B26" s="8">
        <f>SUM(B27:B38)</f>
        <v>45.96</v>
      </c>
      <c r="C26" s="8">
        <f>SUM(C27:C38)</f>
        <v>45.96</v>
      </c>
      <c r="D26" s="8">
        <f>SUM(D27:D38)</f>
        <v>2.6645352591003757E-15</v>
      </c>
      <c r="H26" s="7" t="s">
        <v>24</v>
      </c>
      <c r="I26" s="8">
        <f>SUM(I27:I38)+B26</f>
        <v>183.83999999999997</v>
      </c>
      <c r="J26" s="8">
        <f>SUM(J27:J38)+C26</f>
        <v>183.84</v>
      </c>
      <c r="K26" s="8">
        <f>SUM(K27:K38)+D26</f>
        <v>3.552713678800501E-15</v>
      </c>
      <c r="P26" s="7" t="s">
        <v>24</v>
      </c>
      <c r="Q26" s="8">
        <f>SUM(Q27:Q38)+I26</f>
        <v>321.7199999999999</v>
      </c>
      <c r="R26" s="8">
        <f>SUM(R27:R38)+J26</f>
        <v>321.71999999999997</v>
      </c>
      <c r="S26" s="8">
        <f>SUM(S27:S38)+K26</f>
        <v>3.552713678800501E-15</v>
      </c>
      <c r="X26" s="7" t="s">
        <v>24</v>
      </c>
      <c r="Y26" s="8">
        <f>SUM(Y27:Y38)</f>
        <v>137.87999999999997</v>
      </c>
      <c r="Z26" s="8">
        <f>SUM(Z27:Z38)</f>
        <v>135.88</v>
      </c>
      <c r="AA26" s="8">
        <f>SUM(AA27:AA38)</f>
        <v>2.000000000000001</v>
      </c>
      <c r="AC26" s="19"/>
    </row>
    <row r="27" spans="1:27" ht="12.75" hidden="1">
      <c r="A27" s="9" t="s">
        <v>25</v>
      </c>
      <c r="B27" s="8"/>
      <c r="C27" s="8"/>
      <c r="D27" s="8">
        <f aca="true" t="shared" si="4" ref="D27:D38">B27-C27</f>
        <v>0</v>
      </c>
      <c r="H27" s="9" t="s">
        <v>25</v>
      </c>
      <c r="I27" s="8">
        <v>11.49</v>
      </c>
      <c r="J27" s="8">
        <v>11.49</v>
      </c>
      <c r="K27" s="8">
        <f aca="true" t="shared" si="5" ref="K27:K38">I27-J27</f>
        <v>0</v>
      </c>
      <c r="P27" s="9" t="s">
        <v>25</v>
      </c>
      <c r="Q27" s="8">
        <v>11.49</v>
      </c>
      <c r="R27" s="8">
        <v>11.49</v>
      </c>
      <c r="S27" s="8">
        <f aca="true" t="shared" si="6" ref="S27:S38">Q27-R27</f>
        <v>0</v>
      </c>
      <c r="X27" s="9" t="s">
        <v>25</v>
      </c>
      <c r="Y27" s="8">
        <v>11.49</v>
      </c>
      <c r="Z27" s="8">
        <v>11.49</v>
      </c>
      <c r="AA27" s="8">
        <f aca="true" t="shared" si="7" ref="AA27:AA38">Y27-Z27</f>
        <v>0</v>
      </c>
    </row>
    <row r="28" spans="1:27" ht="12.75" hidden="1">
      <c r="A28" s="9" t="s">
        <v>13</v>
      </c>
      <c r="B28" s="13"/>
      <c r="C28" s="13"/>
      <c r="D28" s="8">
        <f t="shared" si="4"/>
        <v>0</v>
      </c>
      <c r="H28" s="9" t="s">
        <v>13</v>
      </c>
      <c r="I28" s="13">
        <v>11.49</v>
      </c>
      <c r="J28" s="13">
        <v>11.49</v>
      </c>
      <c r="K28" s="8">
        <f t="shared" si="5"/>
        <v>0</v>
      </c>
      <c r="P28" s="9" t="s">
        <v>13</v>
      </c>
      <c r="Q28" s="8">
        <v>11.49</v>
      </c>
      <c r="R28" s="8">
        <v>11.49</v>
      </c>
      <c r="S28" s="8">
        <f t="shared" si="6"/>
        <v>0</v>
      </c>
      <c r="X28" s="9" t="s">
        <v>13</v>
      </c>
      <c r="Y28" s="8">
        <v>11.49</v>
      </c>
      <c r="Z28" s="8">
        <v>11.49</v>
      </c>
      <c r="AA28" s="8">
        <f t="shared" si="7"/>
        <v>0</v>
      </c>
    </row>
    <row r="29" spans="1:27" ht="12.75" hidden="1">
      <c r="A29" s="9" t="s">
        <v>14</v>
      </c>
      <c r="B29" s="13"/>
      <c r="C29" s="13"/>
      <c r="D29" s="8">
        <f t="shared" si="4"/>
        <v>0</v>
      </c>
      <c r="H29" s="9" t="s">
        <v>14</v>
      </c>
      <c r="I29" s="13">
        <v>11.49</v>
      </c>
      <c r="J29" s="13">
        <v>7.86</v>
      </c>
      <c r="K29" s="8">
        <f t="shared" si="5"/>
        <v>3.63</v>
      </c>
      <c r="P29" s="9" t="s">
        <v>14</v>
      </c>
      <c r="Q29" s="8">
        <v>11.49</v>
      </c>
      <c r="R29" s="8">
        <v>11.49</v>
      </c>
      <c r="S29" s="8">
        <f t="shared" si="6"/>
        <v>0</v>
      </c>
      <c r="X29" s="9" t="s">
        <v>14</v>
      </c>
      <c r="Y29" s="8">
        <v>11.49</v>
      </c>
      <c r="Z29" s="8">
        <v>11.49</v>
      </c>
      <c r="AA29" s="8">
        <f t="shared" si="7"/>
        <v>0</v>
      </c>
    </row>
    <row r="30" spans="1:27" ht="12.75" hidden="1">
      <c r="A30" s="9" t="s">
        <v>15</v>
      </c>
      <c r="B30" s="13"/>
      <c r="C30" s="13"/>
      <c r="D30" s="8">
        <f t="shared" si="4"/>
        <v>0</v>
      </c>
      <c r="H30" s="9" t="s">
        <v>15</v>
      </c>
      <c r="I30" s="13">
        <v>11.49</v>
      </c>
      <c r="J30" s="13">
        <v>15.12</v>
      </c>
      <c r="K30" s="8">
        <f t="shared" si="5"/>
        <v>-3.629999999999999</v>
      </c>
      <c r="P30" s="9" t="s">
        <v>15</v>
      </c>
      <c r="Q30" s="8">
        <v>11.49</v>
      </c>
      <c r="R30" s="8">
        <v>11.49</v>
      </c>
      <c r="S30" s="8">
        <f t="shared" si="6"/>
        <v>0</v>
      </c>
      <c r="X30" s="9" t="s">
        <v>15</v>
      </c>
      <c r="Y30" s="8">
        <v>11.49</v>
      </c>
      <c r="Z30" s="8">
        <v>11.49</v>
      </c>
      <c r="AA30" s="8">
        <f t="shared" si="7"/>
        <v>0</v>
      </c>
    </row>
    <row r="31" spans="1:27" ht="12.75" hidden="1">
      <c r="A31" s="9" t="s">
        <v>16</v>
      </c>
      <c r="B31" s="13"/>
      <c r="C31" s="13"/>
      <c r="D31" s="8">
        <f t="shared" si="4"/>
        <v>0</v>
      </c>
      <c r="H31" s="9" t="s">
        <v>16</v>
      </c>
      <c r="I31" s="13">
        <v>11.49</v>
      </c>
      <c r="J31" s="13">
        <v>11.49</v>
      </c>
      <c r="K31" s="8">
        <f t="shared" si="5"/>
        <v>0</v>
      </c>
      <c r="P31" s="9" t="s">
        <v>16</v>
      </c>
      <c r="Q31" s="8">
        <v>11.49</v>
      </c>
      <c r="R31" s="8">
        <v>11.49</v>
      </c>
      <c r="S31" s="8">
        <f t="shared" si="6"/>
        <v>0</v>
      </c>
      <c r="X31" s="9" t="s">
        <v>16</v>
      </c>
      <c r="Y31" s="8">
        <v>11.49</v>
      </c>
      <c r="Z31" s="8">
        <v>11.49</v>
      </c>
      <c r="AA31" s="8">
        <f t="shared" si="7"/>
        <v>0</v>
      </c>
    </row>
    <row r="32" spans="1:27" ht="12.75" hidden="1">
      <c r="A32" s="9" t="s">
        <v>17</v>
      </c>
      <c r="B32" s="13"/>
      <c r="C32" s="13"/>
      <c r="D32" s="8">
        <f t="shared" si="4"/>
        <v>0</v>
      </c>
      <c r="H32" s="9" t="s">
        <v>17</v>
      </c>
      <c r="I32" s="13">
        <v>11.49</v>
      </c>
      <c r="J32" s="13">
        <v>11.49</v>
      </c>
      <c r="K32" s="8">
        <f t="shared" si="5"/>
        <v>0</v>
      </c>
      <c r="P32" s="9" t="s">
        <v>17</v>
      </c>
      <c r="Q32" s="8">
        <v>11.49</v>
      </c>
      <c r="R32" s="8">
        <v>11.49</v>
      </c>
      <c r="S32" s="8">
        <f t="shared" si="6"/>
        <v>0</v>
      </c>
      <c r="X32" s="9" t="s">
        <v>17</v>
      </c>
      <c r="Y32" s="8">
        <v>11.49</v>
      </c>
      <c r="Z32" s="8">
        <v>11.49</v>
      </c>
      <c r="AA32" s="8">
        <f t="shared" si="7"/>
        <v>0</v>
      </c>
    </row>
    <row r="33" spans="1:27" ht="12.75" hidden="1">
      <c r="A33" s="9" t="s">
        <v>18</v>
      </c>
      <c r="B33" s="13"/>
      <c r="C33" s="13"/>
      <c r="D33" s="8">
        <f t="shared" si="4"/>
        <v>0</v>
      </c>
      <c r="H33" s="9" t="s">
        <v>18</v>
      </c>
      <c r="I33" s="13">
        <v>11.49</v>
      </c>
      <c r="J33" s="13">
        <v>11.49</v>
      </c>
      <c r="K33" s="8">
        <f t="shared" si="5"/>
        <v>0</v>
      </c>
      <c r="P33" s="9" t="s">
        <v>18</v>
      </c>
      <c r="Q33" s="8">
        <v>11.49</v>
      </c>
      <c r="R33" s="8">
        <v>11.49</v>
      </c>
      <c r="S33" s="8">
        <f t="shared" si="6"/>
        <v>0</v>
      </c>
      <c r="X33" s="9" t="s">
        <v>18</v>
      </c>
      <c r="Y33" s="8">
        <v>11.49</v>
      </c>
      <c r="Z33" s="8">
        <v>11.49</v>
      </c>
      <c r="AA33" s="8">
        <f t="shared" si="7"/>
        <v>0</v>
      </c>
    </row>
    <row r="34" spans="1:27" ht="12.75" hidden="1">
      <c r="A34" s="9" t="s">
        <v>19</v>
      </c>
      <c r="B34" s="13"/>
      <c r="C34" s="13"/>
      <c r="D34" s="8">
        <f t="shared" si="4"/>
        <v>0</v>
      </c>
      <c r="H34" s="9" t="s">
        <v>19</v>
      </c>
      <c r="I34" s="13">
        <v>11.49</v>
      </c>
      <c r="J34" s="13">
        <v>7.82</v>
      </c>
      <c r="K34" s="8">
        <f t="shared" si="5"/>
        <v>3.67</v>
      </c>
      <c r="P34" s="9" t="s">
        <v>19</v>
      </c>
      <c r="Q34" s="8">
        <v>11.49</v>
      </c>
      <c r="R34" s="8">
        <v>11.49</v>
      </c>
      <c r="S34" s="8">
        <f t="shared" si="6"/>
        <v>0</v>
      </c>
      <c r="X34" s="9" t="s">
        <v>19</v>
      </c>
      <c r="Y34" s="8">
        <v>11.49</v>
      </c>
      <c r="Z34" s="8">
        <v>11.49</v>
      </c>
      <c r="AA34" s="8">
        <f t="shared" si="7"/>
        <v>0</v>
      </c>
    </row>
    <row r="35" spans="1:27" ht="12.75" hidden="1">
      <c r="A35" s="9" t="s">
        <v>20</v>
      </c>
      <c r="B35" s="13">
        <v>11.49</v>
      </c>
      <c r="C35" s="13">
        <v>8.03</v>
      </c>
      <c r="D35" s="8">
        <f t="shared" si="4"/>
        <v>3.460000000000001</v>
      </c>
      <c r="H35" s="9" t="s">
        <v>20</v>
      </c>
      <c r="I35" s="13">
        <v>11.49</v>
      </c>
      <c r="J35" s="13">
        <v>15.16</v>
      </c>
      <c r="K35" s="8">
        <f t="shared" si="5"/>
        <v>-3.67</v>
      </c>
      <c r="P35" s="9" t="s">
        <v>20</v>
      </c>
      <c r="Q35" s="8">
        <v>11.49</v>
      </c>
      <c r="R35" s="8">
        <v>11.49</v>
      </c>
      <c r="S35" s="8">
        <f t="shared" si="6"/>
        <v>0</v>
      </c>
      <c r="X35" s="9" t="s">
        <v>20</v>
      </c>
      <c r="Y35" s="8">
        <v>11.49</v>
      </c>
      <c r="Z35" s="8">
        <v>10.21</v>
      </c>
      <c r="AA35" s="8">
        <f t="shared" si="7"/>
        <v>1.2799999999999994</v>
      </c>
    </row>
    <row r="36" spans="1:27" ht="12.75" hidden="1">
      <c r="A36" s="9" t="s">
        <v>21</v>
      </c>
      <c r="B36" s="13">
        <v>11.49</v>
      </c>
      <c r="C36" s="13">
        <v>7.86</v>
      </c>
      <c r="D36" s="13">
        <f t="shared" si="4"/>
        <v>3.63</v>
      </c>
      <c r="H36" s="9" t="s">
        <v>21</v>
      </c>
      <c r="I36" s="13">
        <v>11.49</v>
      </c>
      <c r="J36" s="13">
        <v>11.49</v>
      </c>
      <c r="K36" s="13">
        <f t="shared" si="5"/>
        <v>0</v>
      </c>
      <c r="P36" s="9" t="s">
        <v>21</v>
      </c>
      <c r="Q36" s="8">
        <v>11.49</v>
      </c>
      <c r="R36" s="8">
        <v>11.49</v>
      </c>
      <c r="S36" s="13">
        <f t="shared" si="6"/>
        <v>0</v>
      </c>
      <c r="X36" s="9" t="s">
        <v>21</v>
      </c>
      <c r="Y36" s="8">
        <v>11.49</v>
      </c>
      <c r="Z36" s="8">
        <v>7.38</v>
      </c>
      <c r="AA36" s="13">
        <f t="shared" si="7"/>
        <v>4.11</v>
      </c>
    </row>
    <row r="37" spans="1:27" ht="12.75" hidden="1">
      <c r="A37" s="9" t="s">
        <v>22</v>
      </c>
      <c r="B37" s="13">
        <v>11.49</v>
      </c>
      <c r="C37" s="13">
        <v>18.58</v>
      </c>
      <c r="D37" s="13">
        <f t="shared" si="4"/>
        <v>-7.089999999999998</v>
      </c>
      <c r="H37" s="9" t="s">
        <v>22</v>
      </c>
      <c r="I37" s="13">
        <v>11.49</v>
      </c>
      <c r="J37" s="13">
        <v>11.49</v>
      </c>
      <c r="K37" s="13">
        <f t="shared" si="5"/>
        <v>0</v>
      </c>
      <c r="P37" s="9" t="s">
        <v>22</v>
      </c>
      <c r="Q37" s="8">
        <v>11.49</v>
      </c>
      <c r="R37" s="8">
        <v>11.49</v>
      </c>
      <c r="S37" s="13">
        <f t="shared" si="6"/>
        <v>0</v>
      </c>
      <c r="X37" s="9" t="s">
        <v>22</v>
      </c>
      <c r="Y37" s="8">
        <v>11.49</v>
      </c>
      <c r="Z37" s="8">
        <v>14.95</v>
      </c>
      <c r="AA37" s="13">
        <f t="shared" si="7"/>
        <v>-3.459999999999999</v>
      </c>
    </row>
    <row r="38" spans="1:27" ht="12.75" hidden="1">
      <c r="A38" s="9" t="s">
        <v>23</v>
      </c>
      <c r="B38" s="10">
        <v>11.49</v>
      </c>
      <c r="C38" s="10">
        <v>11.49</v>
      </c>
      <c r="D38" s="13">
        <f t="shared" si="4"/>
        <v>0</v>
      </c>
      <c r="H38" s="9" t="s">
        <v>23</v>
      </c>
      <c r="I38" s="13">
        <v>11.49</v>
      </c>
      <c r="J38" s="13">
        <v>11.49</v>
      </c>
      <c r="K38" s="13">
        <f t="shared" si="5"/>
        <v>0</v>
      </c>
      <c r="P38" s="9" t="s">
        <v>23</v>
      </c>
      <c r="Q38" s="8">
        <v>11.49</v>
      </c>
      <c r="R38" s="8">
        <v>11.49</v>
      </c>
      <c r="S38" s="13">
        <f t="shared" si="6"/>
        <v>0</v>
      </c>
      <c r="X38" s="9" t="s">
        <v>23</v>
      </c>
      <c r="Y38" s="8">
        <v>11.49</v>
      </c>
      <c r="Z38" s="8">
        <v>11.42</v>
      </c>
      <c r="AA38" s="13">
        <f t="shared" si="7"/>
        <v>0.07000000000000028</v>
      </c>
    </row>
    <row r="39" spans="1:27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  <c r="H39" s="7" t="s">
        <v>42</v>
      </c>
      <c r="I39" s="13">
        <f>I40+I41</f>
        <v>0</v>
      </c>
      <c r="J39" s="13">
        <f>J40+J41</f>
        <v>0</v>
      </c>
      <c r="K39" s="13">
        <f>SUM(K40:K41)</f>
        <v>0</v>
      </c>
      <c r="P39" s="7" t="s">
        <v>42</v>
      </c>
      <c r="Q39" s="13">
        <f>Q40+Q41</f>
        <v>0</v>
      </c>
      <c r="R39" s="13">
        <f>R40+R41</f>
        <v>0</v>
      </c>
      <c r="S39" s="13">
        <f>SUM(S40:S41)</f>
        <v>0</v>
      </c>
      <c r="X39" s="7" t="s">
        <v>42</v>
      </c>
      <c r="Y39" s="13">
        <f>Y40+Y41</f>
        <v>0</v>
      </c>
      <c r="Z39" s="13">
        <f>Z40+Z41</f>
        <v>0</v>
      </c>
      <c r="AA39" s="13">
        <f>SUM(AA40:AA41)</f>
        <v>0</v>
      </c>
    </row>
    <row r="40" spans="1:27" ht="12.75" hidden="1">
      <c r="A40" s="9" t="s">
        <v>22</v>
      </c>
      <c r="B40" s="13"/>
      <c r="C40" s="13"/>
      <c r="D40" s="13">
        <f aca="true" t="shared" si="8" ref="D40:D47">B40-C40</f>
        <v>0</v>
      </c>
      <c r="H40" s="9" t="s">
        <v>22</v>
      </c>
      <c r="I40" s="13"/>
      <c r="J40" s="13"/>
      <c r="K40" s="13">
        <f>I40-J40</f>
        <v>0</v>
      </c>
      <c r="P40" s="9" t="s">
        <v>22</v>
      </c>
      <c r="Q40" s="13"/>
      <c r="R40" s="13"/>
      <c r="S40" s="13">
        <f>Q40-R40</f>
        <v>0</v>
      </c>
      <c r="X40" s="9" t="s">
        <v>22</v>
      </c>
      <c r="Y40" s="13"/>
      <c r="Z40" s="13"/>
      <c r="AA40" s="13">
        <f>Y40-Z40</f>
        <v>0</v>
      </c>
    </row>
    <row r="41" spans="1:27" ht="12.75" hidden="1">
      <c r="A41" s="9" t="s">
        <v>23</v>
      </c>
      <c r="B41" s="13"/>
      <c r="C41" s="13"/>
      <c r="D41" s="13">
        <f t="shared" si="8"/>
        <v>0</v>
      </c>
      <c r="H41" s="9" t="s">
        <v>23</v>
      </c>
      <c r="I41" s="13"/>
      <c r="J41" s="13"/>
      <c r="K41" s="13">
        <f>I41-J41</f>
        <v>0</v>
      </c>
      <c r="P41" s="9" t="s">
        <v>23</v>
      </c>
      <c r="Q41" s="13"/>
      <c r="R41" s="13"/>
      <c r="S41" s="13">
        <f>Q41-R41</f>
        <v>0</v>
      </c>
      <c r="X41" s="9" t="s">
        <v>23</v>
      </c>
      <c r="Y41" s="13"/>
      <c r="Z41" s="13"/>
      <c r="AA41" s="13">
        <f>Y41-Z41</f>
        <v>0</v>
      </c>
    </row>
    <row r="42" spans="1:27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  <c r="H42" s="7" t="s">
        <v>43</v>
      </c>
      <c r="I42" s="13">
        <f>I43+I44+I45+I46+I47</f>
        <v>0</v>
      </c>
      <c r="J42" s="13">
        <f>J43+J44+J45+J46+J47</f>
        <v>0</v>
      </c>
      <c r="K42" s="13">
        <f>SUM(K43:K47)</f>
        <v>0</v>
      </c>
      <c r="P42" s="7" t="s">
        <v>43</v>
      </c>
      <c r="Q42" s="13">
        <f>Q43+Q44+Q45+Q46+Q47</f>
        <v>0</v>
      </c>
      <c r="R42" s="13">
        <f>R43+R44+R45+R46+R47</f>
        <v>0</v>
      </c>
      <c r="S42" s="13">
        <f>SUM(S43:S47)</f>
        <v>0</v>
      </c>
      <c r="X42" s="7" t="s">
        <v>43</v>
      </c>
      <c r="Y42" s="13">
        <f>Y43+Y44+Y45+Y46+Y47</f>
        <v>0</v>
      </c>
      <c r="Z42" s="13">
        <f>Z43+Z44+Z45+Z46+Z47</f>
        <v>0</v>
      </c>
      <c r="AA42" s="13">
        <f>SUM(AA43:AA47)</f>
        <v>0</v>
      </c>
    </row>
    <row r="43" spans="1:27" ht="12.75" hidden="1">
      <c r="A43" s="9" t="s">
        <v>19</v>
      </c>
      <c r="B43" s="8"/>
      <c r="C43" s="8"/>
      <c r="D43" s="8">
        <f t="shared" si="8"/>
        <v>0</v>
      </c>
      <c r="H43" s="9" t="s">
        <v>19</v>
      </c>
      <c r="I43" s="8"/>
      <c r="J43" s="8"/>
      <c r="K43" s="8">
        <f>I43-J43</f>
        <v>0</v>
      </c>
      <c r="P43" s="9" t="s">
        <v>19</v>
      </c>
      <c r="Q43" s="8"/>
      <c r="R43" s="8"/>
      <c r="S43" s="8">
        <f>Q43-R43</f>
        <v>0</v>
      </c>
      <c r="X43" s="9" t="s">
        <v>19</v>
      </c>
      <c r="Y43" s="8"/>
      <c r="Z43" s="8"/>
      <c r="AA43" s="8">
        <f>Y43-Z43</f>
        <v>0</v>
      </c>
    </row>
    <row r="44" spans="1:27" ht="12.75" hidden="1">
      <c r="A44" s="9" t="s">
        <v>20</v>
      </c>
      <c r="B44" s="13"/>
      <c r="C44" s="13"/>
      <c r="D44" s="8">
        <f t="shared" si="8"/>
        <v>0</v>
      </c>
      <c r="H44" s="9" t="s">
        <v>20</v>
      </c>
      <c r="I44" s="13"/>
      <c r="J44" s="13"/>
      <c r="K44" s="8">
        <f>I44-J44</f>
        <v>0</v>
      </c>
      <c r="P44" s="9" t="s">
        <v>20</v>
      </c>
      <c r="Q44" s="13"/>
      <c r="R44" s="13"/>
      <c r="S44" s="8">
        <f>Q44-R44</f>
        <v>0</v>
      </c>
      <c r="X44" s="9" t="s">
        <v>20</v>
      </c>
      <c r="Y44" s="13"/>
      <c r="Z44" s="13"/>
      <c r="AA44" s="8">
        <f>Y44-Z44</f>
        <v>0</v>
      </c>
    </row>
    <row r="45" spans="1:27" ht="12.75" hidden="1">
      <c r="A45" s="9" t="s">
        <v>21</v>
      </c>
      <c r="B45" s="13"/>
      <c r="C45" s="13"/>
      <c r="D45" s="13">
        <f t="shared" si="8"/>
        <v>0</v>
      </c>
      <c r="H45" s="9" t="s">
        <v>21</v>
      </c>
      <c r="I45" s="13"/>
      <c r="J45" s="13"/>
      <c r="K45" s="13">
        <f>I45-J45</f>
        <v>0</v>
      </c>
      <c r="P45" s="9" t="s">
        <v>21</v>
      </c>
      <c r="Q45" s="13"/>
      <c r="R45" s="13"/>
      <c r="S45" s="13">
        <f>Q45-R45</f>
        <v>0</v>
      </c>
      <c r="X45" s="9" t="s">
        <v>21</v>
      </c>
      <c r="Y45" s="13"/>
      <c r="Z45" s="13"/>
      <c r="AA45" s="13">
        <f>Y45-Z45</f>
        <v>0</v>
      </c>
    </row>
    <row r="46" spans="1:27" ht="12.75" hidden="1">
      <c r="A46" s="9" t="s">
        <v>22</v>
      </c>
      <c r="B46" s="13"/>
      <c r="C46" s="13"/>
      <c r="D46" s="13">
        <f t="shared" si="8"/>
        <v>0</v>
      </c>
      <c r="H46" s="9" t="s">
        <v>22</v>
      </c>
      <c r="I46" s="13"/>
      <c r="J46" s="13"/>
      <c r="K46" s="13">
        <f>I46-J46</f>
        <v>0</v>
      </c>
      <c r="P46" s="9" t="s">
        <v>22</v>
      </c>
      <c r="Q46" s="13"/>
      <c r="R46" s="13"/>
      <c r="S46" s="13">
        <f>Q46-R46</f>
        <v>0</v>
      </c>
      <c r="X46" s="9" t="s">
        <v>22</v>
      </c>
      <c r="Y46" s="13"/>
      <c r="Z46" s="13"/>
      <c r="AA46" s="13">
        <f>Y46-Z46</f>
        <v>0</v>
      </c>
    </row>
    <row r="47" spans="1:27" ht="12.75" hidden="1">
      <c r="A47" s="9" t="s">
        <v>23</v>
      </c>
      <c r="B47" s="13"/>
      <c r="C47" s="13"/>
      <c r="D47" s="13">
        <f t="shared" si="8"/>
        <v>0</v>
      </c>
      <c r="H47" s="9" t="s">
        <v>23</v>
      </c>
      <c r="I47" s="13"/>
      <c r="J47" s="13"/>
      <c r="K47" s="13">
        <f>I47-J47</f>
        <v>0</v>
      </c>
      <c r="P47" s="9" t="s">
        <v>23</v>
      </c>
      <c r="Q47" s="13"/>
      <c r="R47" s="13"/>
      <c r="S47" s="13">
        <f>Q47-R47</f>
        <v>0</v>
      </c>
      <c r="X47" s="9" t="s">
        <v>23</v>
      </c>
      <c r="Y47" s="13"/>
      <c r="Z47" s="13"/>
      <c r="AA47" s="13">
        <f>Y47-Z47</f>
        <v>0</v>
      </c>
    </row>
    <row r="48" spans="1:27" ht="12.75">
      <c r="A48" s="9" t="s">
        <v>26</v>
      </c>
      <c r="B48" s="8">
        <f>B13+B26+B39+B42</f>
        <v>93823.6</v>
      </c>
      <c r="C48" s="8">
        <f>C13+C26+C39+C42</f>
        <v>90966.33</v>
      </c>
      <c r="D48" s="8">
        <f>D13+D26+D39+D42</f>
        <v>2857.2700000000004</v>
      </c>
      <c r="H48" s="9" t="s">
        <v>26</v>
      </c>
      <c r="I48" s="8">
        <f>I13+I26+I39+I42</f>
        <v>387039.9000000001</v>
      </c>
      <c r="J48" s="8">
        <f>J13+J26+J39+J42</f>
        <v>384033.72</v>
      </c>
      <c r="K48" s="8">
        <f>K13+K26+K39+K42</f>
        <v>3006.179999999993</v>
      </c>
      <c r="P48" s="9" t="s">
        <v>26</v>
      </c>
      <c r="Q48" s="8">
        <f>Q13+Q26+Q39+Q42</f>
        <v>712194.54</v>
      </c>
      <c r="R48" s="8">
        <f>R13+R26+R39+R42</f>
        <v>699440.1599999999</v>
      </c>
      <c r="S48" s="8">
        <f>S13+S26+S39+S42</f>
        <v>12754.379999999986</v>
      </c>
      <c r="X48" s="9" t="s">
        <v>26</v>
      </c>
      <c r="Y48" s="8">
        <f>Y13+Y26+Y39+Y42</f>
        <v>354806.32999999996</v>
      </c>
      <c r="Z48" s="8">
        <f>Z13+Z26+Z39+Z42</f>
        <v>364214.31999999995</v>
      </c>
      <c r="AA48" s="8">
        <f>AA13+AA26+AA39+AA42</f>
        <v>-9407.98999999999</v>
      </c>
    </row>
    <row r="49" ht="12.75">
      <c r="AC49" s="19"/>
    </row>
    <row r="50" spans="1:27" ht="12.75">
      <c r="A50" t="s">
        <v>27</v>
      </c>
      <c r="D50" s="12">
        <f>D48</f>
        <v>2857.2700000000004</v>
      </c>
      <c r="H50" t="s">
        <v>27</v>
      </c>
      <c r="K50" s="12">
        <f>K48</f>
        <v>3006.179999999993</v>
      </c>
      <c r="P50" t="s">
        <v>27</v>
      </c>
      <c r="S50" s="12">
        <f>S48</f>
        <v>12754.379999999986</v>
      </c>
      <c r="X50" t="s">
        <v>27</v>
      </c>
      <c r="AA50" s="12">
        <f>AA48</f>
        <v>-9407.98999999999</v>
      </c>
    </row>
    <row r="51" ht="12.75">
      <c r="AC51" s="19"/>
    </row>
    <row r="52" spans="1:27" ht="12.75">
      <c r="A52" s="11" t="s">
        <v>28</v>
      </c>
      <c r="D52" s="12">
        <f>D53+D54</f>
        <v>10516.532</v>
      </c>
      <c r="H52" s="11" t="s">
        <v>28</v>
      </c>
      <c r="K52" s="12">
        <f>K53+K54+D52</f>
        <v>50233.553</v>
      </c>
      <c r="P52" s="11" t="s">
        <v>28</v>
      </c>
      <c r="S52" s="12">
        <f>S53+S54+K52</f>
        <v>103718.519</v>
      </c>
      <c r="X52" s="11" t="s">
        <v>28</v>
      </c>
      <c r="AA52" s="12">
        <f>AA53+AA54</f>
        <v>31005.101000000002</v>
      </c>
    </row>
    <row r="53" spans="1:29" ht="12.75" hidden="1">
      <c r="A53" s="11" t="s">
        <v>29</v>
      </c>
      <c r="D53" s="12">
        <f>1.45*4*D5</f>
        <v>9023.06</v>
      </c>
      <c r="H53" s="11" t="s">
        <v>29</v>
      </c>
      <c r="K53" s="12">
        <f>(1.45*7*K5)+(2.5*5*K5)</f>
        <v>35236.605</v>
      </c>
      <c r="P53" s="11" t="s">
        <v>29</v>
      </c>
      <c r="S53" s="12">
        <f>(2.75*6*S5)+(2.5*6*S5)</f>
        <v>49004.55</v>
      </c>
      <c r="X53" s="11" t="s">
        <v>29</v>
      </c>
      <c r="AA53" s="12">
        <f>(2.75*2*AA5)+(1.1*5*AA5)+(1.21*5*AA5)</f>
        <v>26524.685</v>
      </c>
      <c r="AC53" s="19"/>
    </row>
    <row r="54" spans="1:27" ht="12.75" hidden="1">
      <c r="A54" s="11" t="s">
        <v>30</v>
      </c>
      <c r="D54" s="12">
        <f>0.24*4*D5</f>
        <v>1493.472</v>
      </c>
      <c r="H54" s="11" t="s">
        <v>30</v>
      </c>
      <c r="K54" s="12">
        <f>(0.24*12*K5)</f>
        <v>4480.416</v>
      </c>
      <c r="P54" s="11" t="s">
        <v>30</v>
      </c>
      <c r="S54" s="12">
        <f>(0.24*12*S5)</f>
        <v>4480.416</v>
      </c>
      <c r="X54" s="11" t="s">
        <v>30</v>
      </c>
      <c r="AA54" s="12">
        <f>(0.24*12*AA5)</f>
        <v>4480.416</v>
      </c>
    </row>
    <row r="55" spans="1:27" ht="12.75">
      <c r="A55" s="11" t="s">
        <v>31</v>
      </c>
      <c r="D55" s="12">
        <f>0.54*4*D5</f>
        <v>3360.3120000000004</v>
      </c>
      <c r="H55" s="11" t="s">
        <v>31</v>
      </c>
      <c r="K55" s="12">
        <f>(0.54*7*K5)+(0.6*5*K5)+D55</f>
        <v>13907.958</v>
      </c>
      <c r="P55" s="11" t="s">
        <v>31</v>
      </c>
      <c r="S55" s="12">
        <f>(0.66*6*S5)+(0.6*6*S5)+K55</f>
        <v>25669.050000000003</v>
      </c>
      <c r="X55" s="11" t="s">
        <v>31</v>
      </c>
      <c r="AA55" s="12">
        <f>(0.66*2*AA5)</f>
        <v>2053.5240000000003</v>
      </c>
    </row>
    <row r="56" spans="1:27" ht="12.75">
      <c r="A56" s="11"/>
      <c r="D56" s="12"/>
      <c r="H56" s="11" t="s">
        <v>81</v>
      </c>
      <c r="K56" s="12">
        <v>0</v>
      </c>
      <c r="P56" s="11" t="s">
        <v>81</v>
      </c>
      <c r="S56" s="12">
        <f>538.2*2.24</f>
        <v>1205.5680000000002</v>
      </c>
      <c r="X56" s="11" t="s">
        <v>81</v>
      </c>
      <c r="AA56" s="12">
        <f>(0.5*2*AA5)+(0.55*2*AA5)</f>
        <v>3266.9700000000003</v>
      </c>
    </row>
    <row r="57" spans="1:27" ht="12.75">
      <c r="A57" s="11" t="s">
        <v>32</v>
      </c>
      <c r="D57" s="12">
        <f>1.37*4*D5</f>
        <v>8525.236</v>
      </c>
      <c r="H57" s="11" t="s">
        <v>32</v>
      </c>
      <c r="K57" s="12">
        <f>(1.37*7*K5)+(2*5*K5)+D57+K58</f>
        <v>53547.194</v>
      </c>
      <c r="P57" s="11" t="s">
        <v>32</v>
      </c>
      <c r="S57" s="12">
        <f>(2.2*6*S5)+(2*6*S5)+K57</f>
        <v>92750.834</v>
      </c>
      <c r="X57" s="11" t="s">
        <v>90</v>
      </c>
      <c r="AA57" s="12">
        <f>(2.2*7*AA5)+(2.42*5*AA5)</f>
        <v>42781.75</v>
      </c>
    </row>
    <row r="58" spans="1:27" ht="12.75" hidden="1">
      <c r="A58" s="11" t="s">
        <v>33</v>
      </c>
      <c r="D58" s="12">
        <f>(0.58+0.27)*4*D5</f>
        <v>5289.38</v>
      </c>
      <c r="H58" s="11" t="s">
        <v>33</v>
      </c>
      <c r="K58" s="12">
        <f>(0.58+0.27)*7*K5+D58</f>
        <v>14545.795000000002</v>
      </c>
      <c r="P58" s="11" t="s">
        <v>33</v>
      </c>
      <c r="S58" s="12">
        <f>K58</f>
        <v>14545.795000000002</v>
      </c>
      <c r="X58" s="11" t="s">
        <v>33</v>
      </c>
      <c r="AA58" s="12">
        <v>0</v>
      </c>
    </row>
    <row r="59" spans="1:27" ht="12.75">
      <c r="A59" s="11"/>
      <c r="D59" s="12"/>
      <c r="H59" s="11" t="s">
        <v>80</v>
      </c>
      <c r="K59" s="12">
        <f>0.7*3*K5</f>
        <v>3266.9699999999993</v>
      </c>
      <c r="P59" s="11" t="s">
        <v>80</v>
      </c>
      <c r="S59" s="12">
        <f>(0.72*1*S5)+(0.7*2*S5)+K59</f>
        <v>6565.053999999999</v>
      </c>
      <c r="X59" s="11" t="s">
        <v>80</v>
      </c>
      <c r="AA59" s="12">
        <f>(0.72*3*AA5)</f>
        <v>3360.3120000000004</v>
      </c>
    </row>
    <row r="60" spans="1:27" ht="12.75">
      <c r="A60" s="11" t="s">
        <v>34</v>
      </c>
      <c r="D60" s="12">
        <f>1.83*4*D5*70%</f>
        <v>7971.4068</v>
      </c>
      <c r="H60" s="11" t="s">
        <v>34</v>
      </c>
      <c r="K60" s="12">
        <f>(1.83*7*K5*50%)+(3*5*K5)+D60</f>
        <v>41271.16529999999</v>
      </c>
      <c r="P60" s="11" t="s">
        <v>34</v>
      </c>
      <c r="S60" s="12">
        <f>(3.3*6*S5)+(3*6*S5)+K60</f>
        <v>100076.62529999999</v>
      </c>
      <c r="X60" s="11" t="s">
        <v>34</v>
      </c>
      <c r="AA60" s="12">
        <f>(3.3*2*AA5)+(1.2*5*AA5)+(1.32*5*AA5)</f>
        <v>29869.440000000002</v>
      </c>
    </row>
    <row r="61" spans="1:27" ht="12.75">
      <c r="A61" s="11" t="s">
        <v>35</v>
      </c>
      <c r="D61" s="12">
        <f>3.36*4*D5*70%</f>
        <v>14636.025599999999</v>
      </c>
      <c r="H61" s="11" t="s">
        <v>35</v>
      </c>
      <c r="K61" s="12">
        <f>(3.36*7*K5*50%)+(2*5*K5)+D61</f>
        <v>48488.0576</v>
      </c>
      <c r="P61" s="11" t="s">
        <v>35</v>
      </c>
      <c r="S61" s="12">
        <f>(2.2*6*S5)+(2*6*S5)+K61</f>
        <v>87691.6976</v>
      </c>
      <c r="X61" s="11" t="s">
        <v>35</v>
      </c>
      <c r="AA61" s="12">
        <f>(2.2*2*AA5)+(4.1*5*AA5)+(4.52*5*AA5)</f>
        <v>73895.75</v>
      </c>
    </row>
    <row r="62" spans="1:27" ht="12.75">
      <c r="A62" s="11" t="s">
        <v>36</v>
      </c>
      <c r="D62" s="12">
        <f>0.21*4*D5</f>
        <v>1306.788</v>
      </c>
      <c r="H62" s="11" t="s">
        <v>36</v>
      </c>
      <c r="K62" s="12">
        <f>0.22*12*K5+D62</f>
        <v>5413.836000000001</v>
      </c>
      <c r="P62" s="11" t="s">
        <v>36</v>
      </c>
      <c r="S62" s="12">
        <f>(0.24*6*S5)+(0.22*6*S5)+K62</f>
        <v>9707.568000000001</v>
      </c>
      <c r="X62" s="11" t="s">
        <v>36</v>
      </c>
      <c r="AA62" s="12">
        <f>(0.24*7*AA5)+(0.26*5*AA5)</f>
        <v>4635.986</v>
      </c>
    </row>
    <row r="63" spans="1:27" ht="12.75">
      <c r="A63" s="11" t="s">
        <v>64</v>
      </c>
      <c r="D63" s="12">
        <f>1.16*4*D5</f>
        <v>7218.447999999999</v>
      </c>
      <c r="H63" s="11" t="s">
        <v>79</v>
      </c>
      <c r="K63" s="12">
        <f>(0.82*7*K5)+(0.7*5*K5)+D63</f>
        <v>21593.115999999998</v>
      </c>
      <c r="P63" s="11" t="s">
        <v>79</v>
      </c>
      <c r="S63" s="12">
        <f>(0.77*6*S5)+(0.7*6*S5)+K63</f>
        <v>35314.39</v>
      </c>
      <c r="X63" s="11" t="s">
        <v>82</v>
      </c>
      <c r="AA63" s="12">
        <f>(0.77*2*AA5)+(3.2*5*AA5)+(3.52*5*AA5)</f>
        <v>54667.29800000001</v>
      </c>
    </row>
    <row r="64" spans="1:27" ht="12.75">
      <c r="A64" s="11" t="s">
        <v>37</v>
      </c>
      <c r="D64" s="12">
        <f>2.25*4*D6</f>
        <v>243</v>
      </c>
      <c r="H64" s="11" t="s">
        <v>37</v>
      </c>
      <c r="K64" s="12">
        <f>2.25*12*K6+D64</f>
        <v>972</v>
      </c>
      <c r="P64" s="11" t="s">
        <v>37</v>
      </c>
      <c r="S64" s="12">
        <f>2.25*12*S6+K64</f>
        <v>1701</v>
      </c>
      <c r="X64" s="11" t="s">
        <v>37</v>
      </c>
      <c r="AA64" s="12">
        <f>2.25*12*AA6</f>
        <v>729</v>
      </c>
    </row>
    <row r="65" spans="1:27" ht="12.75">
      <c r="A65" s="11" t="s">
        <v>38</v>
      </c>
      <c r="D65" s="12">
        <f>G70</f>
        <v>14197</v>
      </c>
      <c r="G65">
        <v>11497</v>
      </c>
      <c r="H65" s="11" t="s">
        <v>38</v>
      </c>
      <c r="K65" s="12">
        <f>1826+D65</f>
        <v>16023</v>
      </c>
      <c r="N65">
        <v>1826</v>
      </c>
      <c r="O65" t="s">
        <v>112</v>
      </c>
      <c r="P65" s="11" t="s">
        <v>38</v>
      </c>
      <c r="S65" s="12">
        <f>K65+V69</f>
        <v>25863</v>
      </c>
      <c r="V65">
        <v>1670</v>
      </c>
      <c r="W65" t="s">
        <v>131</v>
      </c>
      <c r="X65" s="11" t="s">
        <v>38</v>
      </c>
      <c r="AA65" s="12">
        <v>6562</v>
      </c>
    </row>
    <row r="66" spans="1:27" ht="12.75">
      <c r="A66" s="11" t="s">
        <v>39</v>
      </c>
      <c r="D66" s="12">
        <f>1.55*4*D5</f>
        <v>9645.34</v>
      </c>
      <c r="G66">
        <v>2700</v>
      </c>
      <c r="H66" s="11" t="s">
        <v>39</v>
      </c>
      <c r="K66" s="12">
        <f>(1.55*7*K5)+(1.6*5*K5)+D66</f>
        <v>38970.285</v>
      </c>
      <c r="P66" s="11" t="s">
        <v>39</v>
      </c>
      <c r="S66" s="12">
        <f>(1.76*6*S5)+(1.6*6*S5)+K66</f>
        <v>70333.19700000001</v>
      </c>
      <c r="V66">
        <v>5771</v>
      </c>
      <c r="W66" t="s">
        <v>97</v>
      </c>
      <c r="X66" s="11" t="s">
        <v>39</v>
      </c>
      <c r="AA66" s="12">
        <f>(1.76*2*AA5)+(0.75*5*AA5)+(0.83*5*AA5)</f>
        <v>17766.094</v>
      </c>
    </row>
    <row r="67" spans="1:27" ht="12.75" hidden="1">
      <c r="A67" s="15" t="s">
        <v>65</v>
      </c>
      <c r="D67" s="12">
        <f>B39+B42</f>
        <v>0</v>
      </c>
      <c r="H67" s="15" t="s">
        <v>65</v>
      </c>
      <c r="K67" s="12">
        <f>I39+I42</f>
        <v>0</v>
      </c>
      <c r="P67" s="15" t="s">
        <v>65</v>
      </c>
      <c r="S67" s="12">
        <f>Q39+Q42</f>
        <v>0</v>
      </c>
      <c r="X67" s="15" t="s">
        <v>65</v>
      </c>
      <c r="AA67" s="12">
        <f>Y39+Y42</f>
        <v>0</v>
      </c>
    </row>
    <row r="68" spans="1:27" ht="12.75">
      <c r="A68" s="11"/>
      <c r="D68" s="12"/>
      <c r="H68" s="11"/>
      <c r="K68" s="12"/>
      <c r="P68" s="11"/>
      <c r="S68" s="12"/>
      <c r="V68">
        <v>2399</v>
      </c>
      <c r="W68" t="s">
        <v>97</v>
      </c>
      <c r="X68" s="11"/>
      <c r="AA68" s="12"/>
    </row>
    <row r="69" spans="1:29" ht="12.75">
      <c r="A69" s="11" t="s">
        <v>40</v>
      </c>
      <c r="D69" s="12">
        <f>D52+D55+D57+D58+D60+D61+D62+D63+D64+D65+D66+D67</f>
        <v>82909.4684</v>
      </c>
      <c r="H69" s="11" t="s">
        <v>40</v>
      </c>
      <c r="K69" s="12">
        <f>K52+K55+K56+K57+K58+K59+K60+K61+K62+K63+K64+K65+K66+K67</f>
        <v>308232.9299</v>
      </c>
      <c r="P69" s="11" t="s">
        <v>40</v>
      </c>
      <c r="S69" s="12">
        <f>S52+S55+S56+S57+S58+S59+S60+S61+S62+S63+S64+S65+S66+S67</f>
        <v>575142.2979000001</v>
      </c>
      <c r="V69">
        <f>SUM(V65:V68)</f>
        <v>9840</v>
      </c>
      <c r="X69" s="11" t="s">
        <v>40</v>
      </c>
      <c r="AA69" s="12">
        <f>AA52+AA55+AA56+AA57+AA58+AA59+AA60+AA61+AA62+AA63+AA64+AA65+AA66+AA67</f>
        <v>270593.22500000003</v>
      </c>
      <c r="AC69" s="19"/>
    </row>
    <row r="70" spans="1:27" ht="12.75">
      <c r="A70" s="11"/>
      <c r="D70" s="12"/>
      <c r="G70">
        <f>SUM(G65:G69)</f>
        <v>14197</v>
      </c>
      <c r="H70" s="11"/>
      <c r="K70" s="12"/>
      <c r="P70" s="11"/>
      <c r="S70" s="12"/>
      <c r="X70" s="11"/>
      <c r="AA70" s="12"/>
    </row>
    <row r="71" spans="1:27" ht="12.75">
      <c r="A71" t="s">
        <v>72</v>
      </c>
      <c r="D71" s="12">
        <f>C48-D69</f>
        <v>8056.861600000004</v>
      </c>
      <c r="H71" t="s">
        <v>72</v>
      </c>
      <c r="K71" s="12">
        <f>J48-K69</f>
        <v>75800.79009999998</v>
      </c>
      <c r="P71" t="s">
        <v>72</v>
      </c>
      <c r="S71" s="12">
        <f>R48-S69</f>
        <v>124297.8620999998</v>
      </c>
      <c r="X71" t="s">
        <v>72</v>
      </c>
      <c r="AA71" s="12">
        <f>Z48-AA69</f>
        <v>93621.09499999991</v>
      </c>
    </row>
    <row r="72" spans="1:9" ht="12.75">
      <c r="A72" s="11"/>
      <c r="H72" s="11"/>
      <c r="I72" t="s">
        <v>86</v>
      </c>
    </row>
    <row r="73" ht="12.75">
      <c r="AA73" s="12"/>
    </row>
    <row r="74" spans="9:27" ht="12.75">
      <c r="I74">
        <v>2700</v>
      </c>
      <c r="J74" t="s">
        <v>88</v>
      </c>
      <c r="S74" s="19">
        <f>S52+S55+S56+S57+S59+S60+S61+S62+S63+S64+S65+S66</f>
        <v>560596.5029000001</v>
      </c>
      <c r="AA74" s="12"/>
    </row>
    <row r="75" spans="9:27" ht="12.75">
      <c r="I75">
        <v>1826</v>
      </c>
      <c r="J75" t="s">
        <v>87</v>
      </c>
      <c r="AA75" s="12"/>
    </row>
    <row r="76" spans="9:19" ht="12.75">
      <c r="I76" s="9">
        <f>SUM(I73:I75)</f>
        <v>4526</v>
      </c>
      <c r="S76" s="19">
        <f>S69-S74</f>
        <v>14545.795000000042</v>
      </c>
    </row>
    <row r="96" ht="12.75">
      <c r="A96" s="11"/>
    </row>
  </sheetData>
  <sheetProtection/>
  <mergeCells count="3">
    <mergeCell ref="H1:M1"/>
    <mergeCell ref="P1:U1"/>
    <mergeCell ref="X1:A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45"/>
  <dimension ref="A1:G73"/>
  <sheetViews>
    <sheetView zoomScalePageLayoutView="0" workbookViewId="0" topLeftCell="A10">
      <selection activeCell="G65" sqref="G65:J72"/>
    </sheetView>
  </sheetViews>
  <sheetFormatPr defaultColWidth="9.140625" defaultRowHeight="12.75"/>
  <cols>
    <col min="1" max="1" width="14.7109375" style="0" customWidth="1"/>
    <col min="2" max="2" width="14.8515625" style="0" customWidth="1"/>
    <col min="3" max="3" width="14.28125" style="0" customWidth="1"/>
    <col min="4" max="4" width="14.57421875" style="0" customWidth="1"/>
  </cols>
  <sheetData>
    <row r="1" spans="1:6" ht="26.25" customHeight="1">
      <c r="A1" s="27"/>
      <c r="B1" s="27"/>
      <c r="C1" s="27"/>
      <c r="D1" s="27"/>
      <c r="E1" s="27"/>
      <c r="F1" s="27"/>
    </row>
    <row r="2" ht="12.75" hidden="1"/>
    <row r="3" spans="1:7" ht="12.75">
      <c r="A3" s="1" t="s">
        <v>0</v>
      </c>
      <c r="B3" s="2" t="s">
        <v>1</v>
      </c>
      <c r="C3" s="1" t="s">
        <v>55</v>
      </c>
      <c r="D3" s="1"/>
      <c r="E3" s="1" t="s">
        <v>2</v>
      </c>
      <c r="F3" s="3">
        <v>7</v>
      </c>
      <c r="G3">
        <v>2015</v>
      </c>
    </row>
    <row r="5" spans="1:5" ht="12.75">
      <c r="A5" t="s">
        <v>3</v>
      </c>
      <c r="D5" s="4">
        <v>928.2</v>
      </c>
      <c r="E5" s="5" t="s">
        <v>41</v>
      </c>
    </row>
    <row r="6" spans="1:5" ht="12.75">
      <c r="A6" t="s">
        <v>4</v>
      </c>
      <c r="D6" s="4">
        <v>18</v>
      </c>
      <c r="E6" s="5"/>
    </row>
    <row r="7" spans="1:5" ht="12.75">
      <c r="A7" t="s">
        <v>5</v>
      </c>
      <c r="D7" s="4">
        <v>42</v>
      </c>
      <c r="E7" s="5" t="s">
        <v>6</v>
      </c>
    </row>
    <row r="8" spans="1:5" ht="12.75">
      <c r="A8" t="s">
        <v>7</v>
      </c>
      <c r="D8" s="4">
        <v>66</v>
      </c>
      <c r="E8" s="5" t="s">
        <v>41</v>
      </c>
    </row>
    <row r="9" spans="1:5" ht="12.75">
      <c r="A9" t="s">
        <v>8</v>
      </c>
      <c r="D9" s="4">
        <v>2592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211610.99999999997</v>
      </c>
      <c r="C13" s="8">
        <f>SUM(C14:C25)</f>
        <v>206232.25999999995</v>
      </c>
      <c r="D13" s="8">
        <f>SUM(D14:D25)</f>
        <v>5378.739999999987</v>
      </c>
    </row>
    <row r="14" spans="1:4" ht="12.75" hidden="1">
      <c r="A14" s="9" t="s">
        <v>25</v>
      </c>
      <c r="B14" s="8">
        <v>16930.35</v>
      </c>
      <c r="C14" s="8">
        <v>1610.59</v>
      </c>
      <c r="D14" s="8">
        <f aca="true" t="shared" si="0" ref="D14:D25">B14-C14</f>
        <v>15319.759999999998</v>
      </c>
    </row>
    <row r="15" spans="1:4" ht="12.75" hidden="1">
      <c r="A15" s="9" t="s">
        <v>13</v>
      </c>
      <c r="B15" s="8">
        <v>16930.35</v>
      </c>
      <c r="C15" s="13">
        <v>24305.87</v>
      </c>
      <c r="D15" s="8">
        <f t="shared" si="0"/>
        <v>-7375.52</v>
      </c>
    </row>
    <row r="16" spans="1:4" ht="12.75" hidden="1">
      <c r="A16" s="9" t="s">
        <v>14</v>
      </c>
      <c r="B16" s="8">
        <v>16930.35</v>
      </c>
      <c r="C16" s="13">
        <v>24762.13</v>
      </c>
      <c r="D16" s="8">
        <f t="shared" si="0"/>
        <v>-7831.7800000000025</v>
      </c>
    </row>
    <row r="17" spans="1:4" ht="12.75" hidden="1">
      <c r="A17" s="9" t="s">
        <v>15</v>
      </c>
      <c r="B17" s="8">
        <v>16930.35</v>
      </c>
      <c r="C17" s="13">
        <v>14886.98</v>
      </c>
      <c r="D17" s="8">
        <f t="shared" si="0"/>
        <v>2043.369999999999</v>
      </c>
    </row>
    <row r="18" spans="1:4" ht="12.75" hidden="1">
      <c r="A18" s="9" t="s">
        <v>16</v>
      </c>
      <c r="B18" s="8">
        <v>16930.35</v>
      </c>
      <c r="C18" s="13">
        <v>18142.32</v>
      </c>
      <c r="D18" s="8">
        <f t="shared" si="0"/>
        <v>-1211.9700000000012</v>
      </c>
    </row>
    <row r="19" spans="1:4" ht="12.75" hidden="1">
      <c r="A19" s="9" t="s">
        <v>17</v>
      </c>
      <c r="B19" s="8">
        <v>16930.35</v>
      </c>
      <c r="C19" s="13">
        <v>19199.16</v>
      </c>
      <c r="D19" s="8">
        <f t="shared" si="0"/>
        <v>-2268.8100000000013</v>
      </c>
    </row>
    <row r="20" spans="1:4" ht="12.75" hidden="1">
      <c r="A20" s="9" t="s">
        <v>18</v>
      </c>
      <c r="B20" s="8">
        <v>16930.35</v>
      </c>
      <c r="C20" s="13">
        <v>15645.82</v>
      </c>
      <c r="D20" s="8">
        <f t="shared" si="0"/>
        <v>1284.5299999999988</v>
      </c>
    </row>
    <row r="21" spans="1:4" ht="12.75" hidden="1">
      <c r="A21" s="9" t="s">
        <v>19</v>
      </c>
      <c r="B21" s="13">
        <v>18619.71</v>
      </c>
      <c r="C21" s="13">
        <v>17553.02</v>
      </c>
      <c r="D21" s="8">
        <f t="shared" si="0"/>
        <v>1066.6899999999987</v>
      </c>
    </row>
    <row r="22" spans="1:4" ht="12.75" hidden="1">
      <c r="A22" s="9" t="s">
        <v>20</v>
      </c>
      <c r="B22" s="13">
        <v>18619.71</v>
      </c>
      <c r="C22" s="13">
        <v>17380.31</v>
      </c>
      <c r="D22" s="8">
        <f t="shared" si="0"/>
        <v>1239.3999999999978</v>
      </c>
    </row>
    <row r="23" spans="1:4" ht="12.75" hidden="1">
      <c r="A23" s="9" t="s">
        <v>21</v>
      </c>
      <c r="B23" s="13">
        <v>18619.71</v>
      </c>
      <c r="C23" s="13">
        <v>16318.64</v>
      </c>
      <c r="D23" s="13">
        <f t="shared" si="0"/>
        <v>2301.0699999999997</v>
      </c>
    </row>
    <row r="24" spans="1:4" ht="12.75" hidden="1">
      <c r="A24" s="9" t="s">
        <v>22</v>
      </c>
      <c r="B24" s="13">
        <v>18619.71</v>
      </c>
      <c r="C24" s="13">
        <v>19041.28</v>
      </c>
      <c r="D24" s="13">
        <f t="shared" si="0"/>
        <v>-421.5699999999997</v>
      </c>
    </row>
    <row r="25" spans="1:4" ht="12.75" hidden="1">
      <c r="A25" s="9" t="s">
        <v>23</v>
      </c>
      <c r="B25" s="13">
        <v>18619.71</v>
      </c>
      <c r="C25" s="13">
        <v>17386.14</v>
      </c>
      <c r="D25" s="13">
        <f t="shared" si="0"/>
        <v>1233.5699999999997</v>
      </c>
    </row>
    <row r="26" spans="1:4" ht="12.75">
      <c r="A26" s="7" t="s">
        <v>24</v>
      </c>
      <c r="B26" s="8">
        <f>SUM(B27:B38)</f>
        <v>56.16</v>
      </c>
      <c r="C26" s="8">
        <f>SUM(C27:C38)</f>
        <v>56.16</v>
      </c>
      <c r="D26" s="8">
        <f>SUM(D27:D38)</f>
        <v>0</v>
      </c>
    </row>
    <row r="27" spans="1:4" ht="12.75" hidden="1">
      <c r="A27" s="9" t="s">
        <v>25</v>
      </c>
      <c r="B27" s="8">
        <v>4.68</v>
      </c>
      <c r="C27" s="8">
        <v>0</v>
      </c>
      <c r="D27" s="8">
        <f aca="true" t="shared" si="1" ref="D27:D38">B27-C27</f>
        <v>4.68</v>
      </c>
    </row>
    <row r="28" spans="1:4" ht="12.75" hidden="1">
      <c r="A28" s="9" t="s">
        <v>13</v>
      </c>
      <c r="B28" s="8">
        <v>4.68</v>
      </c>
      <c r="C28" s="8">
        <v>0</v>
      </c>
      <c r="D28" s="8">
        <f t="shared" si="1"/>
        <v>4.68</v>
      </c>
    </row>
    <row r="29" spans="1:4" ht="12.75" hidden="1">
      <c r="A29" s="9" t="s">
        <v>14</v>
      </c>
      <c r="B29" s="8">
        <v>4.68</v>
      </c>
      <c r="C29" s="8">
        <v>14.04</v>
      </c>
      <c r="D29" s="8">
        <f t="shared" si="1"/>
        <v>-9.36</v>
      </c>
    </row>
    <row r="30" spans="1:4" ht="12.75" hidden="1">
      <c r="A30" s="9" t="s">
        <v>15</v>
      </c>
      <c r="B30" s="8">
        <v>4.68</v>
      </c>
      <c r="C30" s="8">
        <v>4.68</v>
      </c>
      <c r="D30" s="8">
        <f t="shared" si="1"/>
        <v>0</v>
      </c>
    </row>
    <row r="31" spans="1:4" ht="12.75" hidden="1">
      <c r="A31" s="9" t="s">
        <v>16</v>
      </c>
      <c r="B31" s="8">
        <v>4.68</v>
      </c>
      <c r="C31" s="8">
        <v>4.68</v>
      </c>
      <c r="D31" s="8">
        <f t="shared" si="1"/>
        <v>0</v>
      </c>
    </row>
    <row r="32" spans="1:4" ht="12.75" hidden="1">
      <c r="A32" s="9" t="s">
        <v>17</v>
      </c>
      <c r="B32" s="8">
        <v>4.68</v>
      </c>
      <c r="C32" s="8">
        <v>4.68</v>
      </c>
      <c r="D32" s="8">
        <f t="shared" si="1"/>
        <v>0</v>
      </c>
    </row>
    <row r="33" spans="1:4" ht="12.75" hidden="1">
      <c r="A33" s="9" t="s">
        <v>18</v>
      </c>
      <c r="B33" s="8">
        <v>4.68</v>
      </c>
      <c r="C33" s="8">
        <v>4.68</v>
      </c>
      <c r="D33" s="8">
        <f t="shared" si="1"/>
        <v>0</v>
      </c>
    </row>
    <row r="34" spans="1:4" ht="12.75" hidden="1">
      <c r="A34" s="9" t="s">
        <v>19</v>
      </c>
      <c r="B34" s="8">
        <v>4.68</v>
      </c>
      <c r="C34" s="8">
        <v>4.68</v>
      </c>
      <c r="D34" s="8">
        <f t="shared" si="1"/>
        <v>0</v>
      </c>
    </row>
    <row r="35" spans="1:4" ht="12.75" hidden="1">
      <c r="A35" s="9" t="s">
        <v>20</v>
      </c>
      <c r="B35" s="8">
        <v>4.68</v>
      </c>
      <c r="C35" s="8">
        <v>4.68</v>
      </c>
      <c r="D35" s="8">
        <f t="shared" si="1"/>
        <v>0</v>
      </c>
    </row>
    <row r="36" spans="1:4" ht="12.75" hidden="1">
      <c r="A36" s="9" t="s">
        <v>21</v>
      </c>
      <c r="B36" s="8">
        <v>4.68</v>
      </c>
      <c r="C36" s="8">
        <v>4.68</v>
      </c>
      <c r="D36" s="13">
        <f t="shared" si="1"/>
        <v>0</v>
      </c>
    </row>
    <row r="37" spans="1:4" ht="12.75" hidden="1">
      <c r="A37" s="9" t="s">
        <v>22</v>
      </c>
      <c r="B37" s="8">
        <v>4.68</v>
      </c>
      <c r="C37" s="8">
        <v>4.68</v>
      </c>
      <c r="D37" s="13">
        <f t="shared" si="1"/>
        <v>0</v>
      </c>
    </row>
    <row r="38" spans="1:4" ht="12.75" hidden="1">
      <c r="A38" s="9" t="s">
        <v>23</v>
      </c>
      <c r="B38" s="8">
        <v>4.68</v>
      </c>
      <c r="C38" s="8">
        <v>4.68</v>
      </c>
      <c r="D38" s="13">
        <f t="shared" si="1"/>
        <v>0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B13+B26+B39+B42</f>
        <v>211667.15999999997</v>
      </c>
      <c r="C48" s="8">
        <f>C13+C26+C39+C42</f>
        <v>206288.41999999995</v>
      </c>
      <c r="D48" s="8">
        <f>D13+D26+D39+D42</f>
        <v>5378.739999999987</v>
      </c>
    </row>
    <row r="50" spans="1:4" ht="12.75">
      <c r="A50" t="s">
        <v>27</v>
      </c>
      <c r="D50" s="12">
        <f>D48</f>
        <v>5378.739999999987</v>
      </c>
    </row>
    <row r="52" spans="1:4" ht="12.75">
      <c r="A52" s="11" t="s">
        <v>28</v>
      </c>
      <c r="D52" s="12">
        <f>D53+D54</f>
        <v>18499.026</v>
      </c>
    </row>
    <row r="53" spans="1:4" ht="12.75" hidden="1">
      <c r="A53" s="11" t="s">
        <v>29</v>
      </c>
      <c r="D53" s="12">
        <f>(2.75*2*D5)+(1.1*5*D5)+(1.21*5*D5)</f>
        <v>15825.810000000001</v>
      </c>
    </row>
    <row r="54" spans="1:4" ht="12.75" hidden="1">
      <c r="A54" s="11" t="s">
        <v>30</v>
      </c>
      <c r="D54" s="12">
        <f>(0.24*12*D5)</f>
        <v>2673.216</v>
      </c>
    </row>
    <row r="55" spans="1:4" ht="12.75">
      <c r="A55" s="11" t="s">
        <v>31</v>
      </c>
      <c r="D55" s="12">
        <f>(0.66*2*D5)</f>
        <v>1225.2240000000002</v>
      </c>
    </row>
    <row r="56" spans="1:4" ht="12.75">
      <c r="A56" s="11" t="s">
        <v>81</v>
      </c>
      <c r="D56" s="12">
        <f>(0.5*2*D5)+(0.55*5*D5)+(0.6*5*D5)</f>
        <v>6265.35</v>
      </c>
    </row>
    <row r="57" spans="1:4" ht="12.75">
      <c r="A57" s="11" t="s">
        <v>90</v>
      </c>
      <c r="D57" s="12">
        <f>(2.2*7*D5)+(2.42*5*D5)</f>
        <v>25525.5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1336.608</v>
      </c>
    </row>
    <row r="60" spans="1:4" ht="12.75">
      <c r="A60" s="11" t="s">
        <v>34</v>
      </c>
      <c r="D60" s="12">
        <f>(3.3*2*D5)+(1.2*5*D5)+(1.32*5*D5)</f>
        <v>17821.440000000002</v>
      </c>
    </row>
    <row r="61" spans="1:4" ht="12.75">
      <c r="A61" s="11" t="s">
        <v>35</v>
      </c>
      <c r="D61" s="12">
        <f>(2.2*2*D5)+(4.1*5*D5)+(4.51*5*D5)</f>
        <v>44043.090000000004</v>
      </c>
    </row>
    <row r="62" spans="1:4" ht="12.75">
      <c r="A62" s="11" t="s">
        <v>36</v>
      </c>
      <c r="D62" s="12">
        <f>(0.24*7*D5)+(0.26*5*D5)</f>
        <v>2766.036</v>
      </c>
    </row>
    <row r="63" spans="1:4" ht="12.75">
      <c r="A63" s="11" t="s">
        <v>82</v>
      </c>
      <c r="D63" s="12">
        <f>(0.77*2*D5)+(3.2*5*D5)+(3.52*5*D5)</f>
        <v>32616.948000000004</v>
      </c>
    </row>
    <row r="64" spans="1:4" ht="12.75">
      <c r="A64" s="11" t="s">
        <v>37</v>
      </c>
      <c r="D64" s="12">
        <f>2.25*12*D6</f>
        <v>486</v>
      </c>
    </row>
    <row r="65" spans="1:4" ht="12.75">
      <c r="A65" s="11" t="s">
        <v>38</v>
      </c>
      <c r="D65" s="12">
        <v>34200</v>
      </c>
    </row>
    <row r="66" spans="1:4" ht="12.75">
      <c r="A66" s="11" t="s">
        <v>39</v>
      </c>
      <c r="D66" s="12">
        <f>(1.76*2*D5)+(0.75*5*D5)+(0.83*5*D5)</f>
        <v>10600.044</v>
      </c>
    </row>
    <row r="67" spans="1:4" ht="12.75" hidden="1">
      <c r="A67" s="15" t="s">
        <v>65</v>
      </c>
      <c r="D67" s="12">
        <f>B39+B42</f>
        <v>0</v>
      </c>
    </row>
    <row r="68" spans="1:4" ht="12.75">
      <c r="A68" s="11"/>
      <c r="D68" s="12"/>
    </row>
    <row r="69" spans="1:4" ht="12.75">
      <c r="A69" s="11" t="s">
        <v>40</v>
      </c>
      <c r="D69" s="12">
        <f>D52+D55+D56+D57+D58+D59+D60+D61+D62+D63+D64+D65+D66+D67</f>
        <v>195385.266</v>
      </c>
    </row>
    <row r="70" spans="1:4" ht="12.75">
      <c r="A70" s="11"/>
      <c r="D70" s="12"/>
    </row>
    <row r="71" spans="1:4" ht="12.75">
      <c r="A71" t="s">
        <v>72</v>
      </c>
      <c r="D71" s="12">
        <f>C48-D69</f>
        <v>10903.153999999951</v>
      </c>
    </row>
    <row r="73" ht="12.75">
      <c r="D73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46"/>
  <dimension ref="A3:G92"/>
  <sheetViews>
    <sheetView zoomScalePageLayoutView="0" workbookViewId="0" topLeftCell="A1">
      <selection activeCell="I86" sqref="I86"/>
    </sheetView>
  </sheetViews>
  <sheetFormatPr defaultColWidth="9.140625" defaultRowHeight="12.75"/>
  <cols>
    <col min="1" max="1" width="14.57421875" style="0" customWidth="1"/>
    <col min="2" max="2" width="15.140625" style="0" customWidth="1"/>
    <col min="3" max="3" width="14.140625" style="0" customWidth="1"/>
    <col min="4" max="4" width="18.28125" style="0" customWidth="1"/>
  </cols>
  <sheetData>
    <row r="3" spans="1:7" ht="12.75">
      <c r="A3" s="1" t="s">
        <v>0</v>
      </c>
      <c r="B3" s="2" t="s">
        <v>1</v>
      </c>
      <c r="C3" s="1" t="s">
        <v>55</v>
      </c>
      <c r="D3" s="1"/>
      <c r="E3" s="1" t="s">
        <v>2</v>
      </c>
      <c r="F3" s="3">
        <v>9</v>
      </c>
      <c r="G3">
        <v>2015</v>
      </c>
    </row>
    <row r="5" spans="1:5" ht="12.75">
      <c r="A5" t="s">
        <v>3</v>
      </c>
      <c r="D5" s="4">
        <v>926.6</v>
      </c>
      <c r="E5" s="5" t="s">
        <v>41</v>
      </c>
    </row>
    <row r="6" spans="1:5" ht="12.75">
      <c r="A6" t="s">
        <v>4</v>
      </c>
      <c r="D6" s="4">
        <v>18</v>
      </c>
      <c r="E6" s="5"/>
    </row>
    <row r="7" spans="1:5" ht="12.75">
      <c r="A7" t="s">
        <v>5</v>
      </c>
      <c r="D7" s="4">
        <v>35</v>
      </c>
      <c r="E7" s="5" t="s">
        <v>6</v>
      </c>
    </row>
    <row r="8" spans="1:5" ht="12.75">
      <c r="A8" t="s">
        <v>7</v>
      </c>
      <c r="D8" s="4">
        <v>56</v>
      </c>
      <c r="E8" s="5" t="s">
        <v>41</v>
      </c>
    </row>
    <row r="9" spans="1:5" ht="12.75">
      <c r="A9" t="s">
        <v>8</v>
      </c>
      <c r="D9" s="4">
        <v>882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211177.89000000004</v>
      </c>
      <c r="C13" s="8">
        <f>SUM(C14:C25)</f>
        <v>212340.17000000004</v>
      </c>
      <c r="D13" s="8">
        <f>SUM(D14:D25)</f>
        <v>-1162.279999999997</v>
      </c>
    </row>
    <row r="14" spans="1:4" ht="12.75" hidden="1">
      <c r="A14" s="9" t="s">
        <v>25</v>
      </c>
      <c r="B14" s="8">
        <v>16895.72</v>
      </c>
      <c r="C14" s="8">
        <v>8950.22</v>
      </c>
      <c r="D14" s="8">
        <f aca="true" t="shared" si="0" ref="D14:D25">B14-C14</f>
        <v>7945.500000000002</v>
      </c>
    </row>
    <row r="15" spans="1:4" ht="12.75" hidden="1">
      <c r="A15" s="9" t="s">
        <v>13</v>
      </c>
      <c r="B15" s="8">
        <v>16895.72</v>
      </c>
      <c r="C15" s="13">
        <v>15982.3</v>
      </c>
      <c r="D15" s="8">
        <f t="shared" si="0"/>
        <v>913.4200000000019</v>
      </c>
    </row>
    <row r="16" spans="1:4" ht="12.75" hidden="1">
      <c r="A16" s="9" t="s">
        <v>14</v>
      </c>
      <c r="B16" s="8">
        <v>16895.72</v>
      </c>
      <c r="C16" s="13">
        <v>18066.09</v>
      </c>
      <c r="D16" s="8">
        <f t="shared" si="0"/>
        <v>-1170.369999999999</v>
      </c>
    </row>
    <row r="17" spans="1:4" ht="12.75" hidden="1">
      <c r="A17" s="9" t="s">
        <v>15</v>
      </c>
      <c r="B17" s="8">
        <v>16895.72</v>
      </c>
      <c r="C17" s="13">
        <v>13946.49</v>
      </c>
      <c r="D17" s="8">
        <f t="shared" si="0"/>
        <v>2949.2300000000014</v>
      </c>
    </row>
    <row r="18" spans="1:4" ht="12.75" hidden="1">
      <c r="A18" s="9" t="s">
        <v>16</v>
      </c>
      <c r="B18" s="8">
        <v>16895.72</v>
      </c>
      <c r="C18" s="13">
        <v>20603.48</v>
      </c>
      <c r="D18" s="8">
        <f t="shared" si="0"/>
        <v>-3707.7599999999984</v>
      </c>
    </row>
    <row r="19" spans="1:4" ht="12.75" hidden="1">
      <c r="A19" s="9" t="s">
        <v>17</v>
      </c>
      <c r="B19" s="8">
        <v>16895.72</v>
      </c>
      <c r="C19" s="13">
        <v>16999.43</v>
      </c>
      <c r="D19" s="8">
        <f t="shared" si="0"/>
        <v>-103.70999999999913</v>
      </c>
    </row>
    <row r="20" spans="1:4" ht="12.75" hidden="1">
      <c r="A20" s="9" t="s">
        <v>18</v>
      </c>
      <c r="B20" s="8">
        <v>16895.72</v>
      </c>
      <c r="C20" s="13">
        <v>17041.55</v>
      </c>
      <c r="D20" s="8">
        <f t="shared" si="0"/>
        <v>-145.8299999999981</v>
      </c>
    </row>
    <row r="21" spans="1:4" ht="12.75" hidden="1">
      <c r="A21" s="9" t="s">
        <v>19</v>
      </c>
      <c r="B21" s="13">
        <v>18581.57</v>
      </c>
      <c r="C21" s="13">
        <v>17720.58</v>
      </c>
      <c r="D21" s="8">
        <f t="shared" si="0"/>
        <v>860.989999999998</v>
      </c>
    </row>
    <row r="22" spans="1:4" ht="12.75" hidden="1">
      <c r="A22" s="9" t="s">
        <v>20</v>
      </c>
      <c r="B22" s="13">
        <v>18581.57</v>
      </c>
      <c r="C22" s="13">
        <v>19368.97</v>
      </c>
      <c r="D22" s="8">
        <f t="shared" si="0"/>
        <v>-787.4000000000015</v>
      </c>
    </row>
    <row r="23" spans="1:4" ht="12.75" hidden="1">
      <c r="A23" s="9" t="s">
        <v>21</v>
      </c>
      <c r="B23" s="13">
        <v>18581.57</v>
      </c>
      <c r="C23" s="13">
        <v>16373.17</v>
      </c>
      <c r="D23" s="13">
        <f t="shared" si="0"/>
        <v>2208.3999999999996</v>
      </c>
    </row>
    <row r="24" spans="1:4" ht="12.75" hidden="1">
      <c r="A24" s="9" t="s">
        <v>22</v>
      </c>
      <c r="B24" s="13">
        <v>18581.57</v>
      </c>
      <c r="C24" s="13">
        <v>25081.58</v>
      </c>
      <c r="D24" s="13">
        <f t="shared" si="0"/>
        <v>-6500.010000000002</v>
      </c>
    </row>
    <row r="25" spans="1:4" ht="12.75" hidden="1">
      <c r="A25" s="9" t="s">
        <v>23</v>
      </c>
      <c r="B25" s="13">
        <v>18581.57</v>
      </c>
      <c r="C25" s="13">
        <v>22206.31</v>
      </c>
      <c r="D25" s="13">
        <f t="shared" si="0"/>
        <v>-3624.7400000000016</v>
      </c>
    </row>
    <row r="26" spans="1:4" ht="12.75">
      <c r="A26" s="7" t="s">
        <v>24</v>
      </c>
      <c r="B26" s="8">
        <f>SUM(B27:B38)</f>
        <v>84.96</v>
      </c>
      <c r="C26" s="8">
        <f>SUM(C27:C38)</f>
        <v>80.81999999999998</v>
      </c>
      <c r="D26" s="8">
        <f>SUM(D27:D38)</f>
        <v>4.140000000000001</v>
      </c>
    </row>
    <row r="27" spans="1:4" ht="12.75" hidden="1">
      <c r="A27" s="9" t="s">
        <v>25</v>
      </c>
      <c r="B27" s="8">
        <v>7.08</v>
      </c>
      <c r="C27" s="8">
        <v>3.52</v>
      </c>
      <c r="D27" s="8">
        <f aca="true" t="shared" si="1" ref="D27:D38">B27-C27</f>
        <v>3.56</v>
      </c>
    </row>
    <row r="28" spans="1:4" ht="12.75" hidden="1">
      <c r="A28" s="9" t="s">
        <v>13</v>
      </c>
      <c r="B28" s="8">
        <v>7.08</v>
      </c>
      <c r="C28" s="13">
        <v>0</v>
      </c>
      <c r="D28" s="8">
        <f t="shared" si="1"/>
        <v>7.08</v>
      </c>
    </row>
    <row r="29" spans="1:4" ht="12.75" hidden="1">
      <c r="A29" s="9" t="s">
        <v>14</v>
      </c>
      <c r="B29" s="8">
        <v>7.08</v>
      </c>
      <c r="C29" s="13">
        <v>17.44</v>
      </c>
      <c r="D29" s="8">
        <f t="shared" si="1"/>
        <v>-10.360000000000001</v>
      </c>
    </row>
    <row r="30" spans="1:4" ht="12.75" hidden="1">
      <c r="A30" s="9" t="s">
        <v>15</v>
      </c>
      <c r="B30" s="8">
        <v>7.08</v>
      </c>
      <c r="C30" s="8">
        <v>7.01</v>
      </c>
      <c r="D30" s="8">
        <f t="shared" si="1"/>
        <v>0.07000000000000028</v>
      </c>
    </row>
    <row r="31" spans="1:4" ht="12.75" hidden="1">
      <c r="A31" s="9" t="s">
        <v>16</v>
      </c>
      <c r="B31" s="8">
        <v>7.08</v>
      </c>
      <c r="C31" s="8">
        <v>10.64</v>
      </c>
      <c r="D31" s="8">
        <f t="shared" si="1"/>
        <v>-3.5600000000000005</v>
      </c>
    </row>
    <row r="32" spans="1:4" ht="12.75" hidden="1">
      <c r="A32" s="9" t="s">
        <v>17</v>
      </c>
      <c r="B32" s="8">
        <v>7.08</v>
      </c>
      <c r="C32" s="8">
        <v>7.08</v>
      </c>
      <c r="D32" s="8">
        <f t="shared" si="1"/>
        <v>0</v>
      </c>
    </row>
    <row r="33" spans="1:4" ht="12.75" hidden="1">
      <c r="A33" s="9" t="s">
        <v>18</v>
      </c>
      <c r="B33" s="8">
        <v>7.08</v>
      </c>
      <c r="C33" s="8">
        <v>7.08</v>
      </c>
      <c r="D33" s="8">
        <f t="shared" si="1"/>
        <v>0</v>
      </c>
    </row>
    <row r="34" spans="1:4" ht="12.75" hidden="1">
      <c r="A34" s="9" t="s">
        <v>19</v>
      </c>
      <c r="B34" s="8">
        <v>7.08</v>
      </c>
      <c r="C34" s="8">
        <v>7.08</v>
      </c>
      <c r="D34" s="8">
        <f t="shared" si="1"/>
        <v>0</v>
      </c>
    </row>
    <row r="35" spans="1:4" ht="12.75" hidden="1">
      <c r="A35" s="9" t="s">
        <v>20</v>
      </c>
      <c r="B35" s="8">
        <v>7.08</v>
      </c>
      <c r="C35" s="13">
        <v>0</v>
      </c>
      <c r="D35" s="8">
        <f t="shared" si="1"/>
        <v>7.08</v>
      </c>
    </row>
    <row r="36" spans="1:4" ht="12.75" hidden="1">
      <c r="A36" s="9" t="s">
        <v>21</v>
      </c>
      <c r="B36" s="8">
        <v>7.08</v>
      </c>
      <c r="C36" s="13">
        <v>10.6</v>
      </c>
      <c r="D36" s="13">
        <f t="shared" si="1"/>
        <v>-3.5199999999999996</v>
      </c>
    </row>
    <row r="37" spans="1:4" ht="12.75" hidden="1">
      <c r="A37" s="9" t="s">
        <v>22</v>
      </c>
      <c r="B37" s="8">
        <v>7.08</v>
      </c>
      <c r="C37" s="13">
        <v>6.85</v>
      </c>
      <c r="D37" s="13">
        <f t="shared" si="1"/>
        <v>0.23000000000000043</v>
      </c>
    </row>
    <row r="38" spans="1:4" ht="12.75" hidden="1">
      <c r="A38" s="9" t="s">
        <v>23</v>
      </c>
      <c r="B38" s="8">
        <v>7.08</v>
      </c>
      <c r="C38" s="13">
        <v>3.52</v>
      </c>
      <c r="D38" s="13">
        <f t="shared" si="1"/>
        <v>3.56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148</v>
      </c>
      <c r="B42" s="8">
        <f>SUM(B43:B54)</f>
        <v>0</v>
      </c>
      <c r="C42" s="8">
        <f>SUM(C43:C54)</f>
        <v>0</v>
      </c>
      <c r="D42" s="8">
        <f>SUM(D43:D54)</f>
        <v>0</v>
      </c>
    </row>
    <row r="43" spans="1:4" ht="12.75" hidden="1">
      <c r="A43" s="9" t="s">
        <v>25</v>
      </c>
      <c r="B43" s="8"/>
      <c r="C43" s="8">
        <v>0</v>
      </c>
      <c r="D43" s="8">
        <f aca="true" t="shared" si="2" ref="D43:D49">B43-C43</f>
        <v>0</v>
      </c>
    </row>
    <row r="44" spans="1:4" ht="12.75" hidden="1">
      <c r="A44" s="9" t="s">
        <v>13</v>
      </c>
      <c r="B44" s="13"/>
      <c r="C44" s="13"/>
      <c r="D44" s="8">
        <f t="shared" si="2"/>
        <v>0</v>
      </c>
    </row>
    <row r="45" spans="1:4" ht="12.75" hidden="1">
      <c r="A45" s="9" t="s">
        <v>14</v>
      </c>
      <c r="B45" s="13"/>
      <c r="C45" s="13"/>
      <c r="D45" s="8">
        <f t="shared" si="2"/>
        <v>0</v>
      </c>
    </row>
    <row r="46" spans="1:4" ht="12.75" hidden="1">
      <c r="A46" s="9" t="s">
        <v>15</v>
      </c>
      <c r="B46" s="13"/>
      <c r="C46" s="13"/>
      <c r="D46" s="8">
        <f t="shared" si="2"/>
        <v>0</v>
      </c>
    </row>
    <row r="47" spans="1:4" ht="12.75" hidden="1">
      <c r="A47" s="9" t="s">
        <v>16</v>
      </c>
      <c r="B47" s="13"/>
      <c r="C47" s="13"/>
      <c r="D47" s="8">
        <f t="shared" si="2"/>
        <v>0</v>
      </c>
    </row>
    <row r="48" spans="1:4" ht="12.75" hidden="1">
      <c r="A48" s="9" t="s">
        <v>17</v>
      </c>
      <c r="B48" s="13"/>
      <c r="C48" s="13"/>
      <c r="D48" s="8">
        <f t="shared" si="2"/>
        <v>0</v>
      </c>
    </row>
    <row r="49" spans="1:4" ht="12.75" hidden="1">
      <c r="A49" s="9" t="s">
        <v>18</v>
      </c>
      <c r="B49" s="13"/>
      <c r="C49" s="13"/>
      <c r="D49" s="8">
        <f t="shared" si="2"/>
        <v>0</v>
      </c>
    </row>
    <row r="50" spans="1:4" ht="12.75" hidden="1">
      <c r="A50" s="9" t="s">
        <v>19</v>
      </c>
      <c r="B50" s="8"/>
      <c r="C50" s="8"/>
      <c r="D50" s="8">
        <f>B50-C50</f>
        <v>0</v>
      </c>
    </row>
    <row r="51" spans="1:4" ht="12.75" hidden="1">
      <c r="A51" s="9" t="s">
        <v>20</v>
      </c>
      <c r="B51" s="13"/>
      <c r="C51" s="13"/>
      <c r="D51" s="8">
        <f>B51-C51</f>
        <v>0</v>
      </c>
    </row>
    <row r="52" spans="1:4" ht="12.75" hidden="1">
      <c r="A52" s="9" t="s">
        <v>21</v>
      </c>
      <c r="B52" s="13"/>
      <c r="C52" s="13"/>
      <c r="D52" s="13">
        <f>B52-C52</f>
        <v>0</v>
      </c>
    </row>
    <row r="53" spans="1:4" ht="12.75" hidden="1">
      <c r="A53" s="9" t="s">
        <v>22</v>
      </c>
      <c r="B53" s="13"/>
      <c r="C53" s="13"/>
      <c r="D53" s="13">
        <f>B53-C53</f>
        <v>0</v>
      </c>
    </row>
    <row r="54" spans="1:4" ht="12.75" hidden="1">
      <c r="A54" s="9" t="s">
        <v>23</v>
      </c>
      <c r="B54" s="13"/>
      <c r="C54" s="13"/>
      <c r="D54" s="13">
        <f>B54-C54</f>
        <v>0</v>
      </c>
    </row>
    <row r="55" spans="1:4" ht="12.75">
      <c r="A55" s="9" t="s">
        <v>26</v>
      </c>
      <c r="B55" s="8">
        <f>B13+B26+B39+B42</f>
        <v>211262.85000000003</v>
      </c>
      <c r="C55" s="8">
        <f>C13+C26+C39+C42</f>
        <v>212420.99000000005</v>
      </c>
      <c r="D55" s="8">
        <f>D13+D26+D39+D42</f>
        <v>-1158.139999999997</v>
      </c>
    </row>
    <row r="57" spans="1:4" ht="12.75">
      <c r="A57" t="s">
        <v>27</v>
      </c>
      <c r="D57" s="12">
        <f>D55</f>
        <v>-1158.139999999997</v>
      </c>
    </row>
    <row r="59" spans="1:4" ht="12.75">
      <c r="A59" s="11" t="s">
        <v>28</v>
      </c>
      <c r="D59" s="12">
        <f>D60+D61</f>
        <v>18467.138</v>
      </c>
    </row>
    <row r="60" spans="1:4" ht="12.75" hidden="1">
      <c r="A60" s="11" t="s">
        <v>29</v>
      </c>
      <c r="D60" s="12">
        <f>(2.75*2*D5)+(1.1*5*D5)+(1.21*5*D5)</f>
        <v>15798.53</v>
      </c>
    </row>
    <row r="61" spans="1:4" ht="12.75" hidden="1">
      <c r="A61" s="11" t="s">
        <v>30</v>
      </c>
      <c r="D61" s="12">
        <f>(0.24*12*D5)</f>
        <v>2668.608</v>
      </c>
    </row>
    <row r="62" spans="1:4" ht="12.75">
      <c r="A62" s="11" t="s">
        <v>31</v>
      </c>
      <c r="D62" s="12">
        <f>(0.66*2*D5)</f>
        <v>1223.112</v>
      </c>
    </row>
    <row r="63" spans="1:4" ht="12.75">
      <c r="A63" s="11" t="s">
        <v>81</v>
      </c>
      <c r="D63" s="12">
        <f>(0.5*2*D5)+(0.55*5*D5)</f>
        <v>3474.75</v>
      </c>
    </row>
    <row r="64" spans="1:4" ht="12.75">
      <c r="A64" s="11" t="s">
        <v>90</v>
      </c>
      <c r="D64" s="12">
        <f>(2.2*7*D5)+(2.42*5*D5)</f>
        <v>25481.500000000004</v>
      </c>
    </row>
    <row r="65" spans="1:4" ht="12.75" hidden="1">
      <c r="A65" s="11" t="s">
        <v>33</v>
      </c>
      <c r="D65" s="12">
        <v>0</v>
      </c>
    </row>
    <row r="66" spans="1:4" ht="12.75">
      <c r="A66" s="11" t="s">
        <v>80</v>
      </c>
      <c r="D66" s="12">
        <f>(0.72*2*D5)</f>
        <v>1334.304</v>
      </c>
    </row>
    <row r="67" spans="1:4" ht="12.75">
      <c r="A67" s="11" t="s">
        <v>34</v>
      </c>
      <c r="D67" s="12">
        <f>(3.3*2*D5)+(1.2*5*D5)+(1.32*5*D5)</f>
        <v>17790.72</v>
      </c>
    </row>
    <row r="68" spans="1:4" ht="12.75">
      <c r="A68" s="11" t="s">
        <v>35</v>
      </c>
      <c r="D68" s="12">
        <f>(2.2*2*D5)+(4.1*5*D5)+(4.51*5*D5)</f>
        <v>43967.17</v>
      </c>
    </row>
    <row r="69" spans="1:4" ht="12.75">
      <c r="A69" s="11" t="s">
        <v>36</v>
      </c>
      <c r="D69" s="12">
        <f>(0.24*7*D5)+(0.26*5*D5)</f>
        <v>2761.268</v>
      </c>
    </row>
    <row r="70" spans="1:4" ht="12.75">
      <c r="A70" s="11" t="s">
        <v>82</v>
      </c>
      <c r="D70" s="12">
        <f>(0.77*2*D5)+(3.2*5*D5)+(3.52*5*D5)</f>
        <v>32560.724000000002</v>
      </c>
    </row>
    <row r="71" spans="1:4" ht="12.75">
      <c r="A71" s="11" t="s">
        <v>37</v>
      </c>
      <c r="D71" s="12">
        <f>2.25*12*D6</f>
        <v>486</v>
      </c>
    </row>
    <row r="72" spans="1:7" ht="12.75">
      <c r="A72" s="11" t="s">
        <v>38</v>
      </c>
      <c r="D72" s="12">
        <v>22400</v>
      </c>
      <c r="G72" s="17"/>
    </row>
    <row r="73" spans="1:7" ht="12.75">
      <c r="A73" s="11" t="s">
        <v>39</v>
      </c>
      <c r="D73" s="12">
        <f>(1.76*2*D5)+(0.75*5*D5)+(0.83*5*D5)</f>
        <v>10581.771999999999</v>
      </c>
      <c r="G73" s="17"/>
    </row>
    <row r="74" spans="1:7" ht="12.75" hidden="1">
      <c r="A74" s="15" t="s">
        <v>65</v>
      </c>
      <c r="D74" s="12">
        <v>0</v>
      </c>
      <c r="G74" s="17"/>
    </row>
    <row r="75" spans="1:7" ht="12.75">
      <c r="A75" s="11"/>
      <c r="D75" s="12"/>
      <c r="G75" s="18"/>
    </row>
    <row r="76" spans="1:7" ht="12.75">
      <c r="A76" s="11" t="s">
        <v>40</v>
      </c>
      <c r="D76" s="12">
        <f>D59+D62+D63+D64+D65+D66+D67+D68+D69+D70+D71+D72+D73+D74</f>
        <v>180528.45799999998</v>
      </c>
      <c r="G76" s="18"/>
    </row>
    <row r="77" spans="1:7" ht="12.75">
      <c r="A77" s="11"/>
      <c r="D77" s="12"/>
      <c r="G77" s="17"/>
    </row>
    <row r="78" spans="1:7" ht="12.75">
      <c r="A78" t="s">
        <v>72</v>
      </c>
      <c r="D78" s="12">
        <f>C55-D76</f>
        <v>31892.532000000065</v>
      </c>
      <c r="G78" s="17"/>
    </row>
    <row r="80" ht="12.75">
      <c r="D80" s="12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48"/>
  <dimension ref="A2:G80"/>
  <sheetViews>
    <sheetView zoomScalePageLayoutView="0" workbookViewId="0" topLeftCell="A13">
      <selection activeCell="A80" sqref="A80:F91"/>
    </sheetView>
  </sheetViews>
  <sheetFormatPr defaultColWidth="9.140625" defaultRowHeight="12.75"/>
  <cols>
    <col min="1" max="1" width="15.7109375" style="0" customWidth="1"/>
    <col min="2" max="2" width="15.28125" style="0" customWidth="1"/>
    <col min="3" max="3" width="13.00390625" style="0" customWidth="1"/>
    <col min="4" max="4" width="15.421875" style="0" customWidth="1"/>
  </cols>
  <sheetData>
    <row r="2" spans="1:6" ht="26.25" customHeight="1">
      <c r="A2" s="27"/>
      <c r="B2" s="27"/>
      <c r="C2" s="27"/>
      <c r="D2" s="27"/>
      <c r="E2" s="27"/>
      <c r="F2" s="27"/>
    </row>
    <row r="3" spans="1:7" ht="12.75">
      <c r="A3" s="1" t="s">
        <v>0</v>
      </c>
      <c r="B3" s="2" t="s">
        <v>1</v>
      </c>
      <c r="C3" s="1" t="s">
        <v>75</v>
      </c>
      <c r="D3" s="1"/>
      <c r="E3" s="1" t="s">
        <v>2</v>
      </c>
      <c r="F3" s="3">
        <v>3</v>
      </c>
      <c r="G3">
        <v>2015</v>
      </c>
    </row>
    <row r="5" spans="1:5" ht="12.75">
      <c r="A5" t="s">
        <v>3</v>
      </c>
      <c r="D5" s="4">
        <v>911.5</v>
      </c>
      <c r="E5" s="5" t="s">
        <v>41</v>
      </c>
    </row>
    <row r="6" spans="1:5" ht="12.75">
      <c r="A6" t="s">
        <v>4</v>
      </c>
      <c r="D6" s="4">
        <v>22</v>
      </c>
      <c r="E6" s="5"/>
    </row>
    <row r="7" spans="1:5" ht="12.75">
      <c r="A7" t="s">
        <v>5</v>
      </c>
      <c r="D7" s="4">
        <v>47</v>
      </c>
      <c r="E7" s="5" t="s">
        <v>6</v>
      </c>
    </row>
    <row r="8" spans="1:5" ht="12.75">
      <c r="A8" t="s">
        <v>7</v>
      </c>
      <c r="D8" s="4">
        <v>42</v>
      </c>
      <c r="E8" s="5" t="s">
        <v>41</v>
      </c>
    </row>
    <row r="9" spans="1:5" ht="12.75">
      <c r="A9" t="s">
        <v>8</v>
      </c>
      <c r="D9" s="4">
        <v>1237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201621.58000000002</v>
      </c>
      <c r="C13" s="8">
        <f>SUM(C14:C25)</f>
        <v>205963.69000000003</v>
      </c>
      <c r="D13" s="8">
        <f>SUM(D14:D25)</f>
        <v>-4342.109999999982</v>
      </c>
    </row>
    <row r="14" spans="1:4" ht="12.75" hidden="1">
      <c r="A14" s="9" t="s">
        <v>25</v>
      </c>
      <c r="B14" s="8">
        <f>16484.72-846.39</f>
        <v>15638.330000000002</v>
      </c>
      <c r="C14" s="8">
        <v>12852.14</v>
      </c>
      <c r="D14" s="8">
        <f aca="true" t="shared" si="0" ref="D14:D25">B14-C14</f>
        <v>2786.1900000000023</v>
      </c>
    </row>
    <row r="15" spans="1:4" ht="12.75" hidden="1">
      <c r="A15" s="9" t="s">
        <v>13</v>
      </c>
      <c r="B15" s="8">
        <f>16484.72-418.32</f>
        <v>16066.400000000001</v>
      </c>
      <c r="C15" s="13">
        <v>11999.15</v>
      </c>
      <c r="D15" s="8">
        <f t="shared" si="0"/>
        <v>4067.250000000002</v>
      </c>
    </row>
    <row r="16" spans="1:4" ht="12.75" hidden="1">
      <c r="A16" s="9" t="s">
        <v>14</v>
      </c>
      <c r="B16" s="8">
        <v>16484.72</v>
      </c>
      <c r="C16" s="13">
        <v>18857.17</v>
      </c>
      <c r="D16" s="8">
        <f t="shared" si="0"/>
        <v>-2372.449999999997</v>
      </c>
    </row>
    <row r="17" spans="1:4" ht="12.75" hidden="1">
      <c r="A17" s="9" t="s">
        <v>15</v>
      </c>
      <c r="B17" s="8">
        <v>16484.72</v>
      </c>
      <c r="C17" s="13">
        <v>14462.59</v>
      </c>
      <c r="D17" s="8">
        <f t="shared" si="0"/>
        <v>2022.130000000001</v>
      </c>
    </row>
    <row r="18" spans="1:4" ht="12.75" hidden="1">
      <c r="A18" s="9" t="s">
        <v>16</v>
      </c>
      <c r="B18" s="8">
        <v>16484.72</v>
      </c>
      <c r="C18" s="13">
        <v>17331.03</v>
      </c>
      <c r="D18" s="8">
        <f t="shared" si="0"/>
        <v>-846.3099999999977</v>
      </c>
    </row>
    <row r="19" spans="1:4" ht="12.75" hidden="1">
      <c r="A19" s="9" t="s">
        <v>17</v>
      </c>
      <c r="B19" s="8">
        <v>16484.72</v>
      </c>
      <c r="C19" s="13">
        <v>14225.67</v>
      </c>
      <c r="D19" s="8">
        <f t="shared" si="0"/>
        <v>2259.050000000001</v>
      </c>
    </row>
    <row r="20" spans="1:4" ht="12.75" hidden="1">
      <c r="A20" s="9" t="s">
        <v>18</v>
      </c>
      <c r="B20" s="8">
        <v>16484.72</v>
      </c>
      <c r="C20" s="13">
        <v>21170.6</v>
      </c>
      <c r="D20" s="8">
        <f t="shared" si="0"/>
        <v>-4685.879999999997</v>
      </c>
    </row>
    <row r="21" spans="1:4" ht="12.75" hidden="1">
      <c r="A21" s="9" t="s">
        <v>19</v>
      </c>
      <c r="B21" s="13">
        <v>18129.81</v>
      </c>
      <c r="C21" s="13">
        <v>18708.54</v>
      </c>
      <c r="D21" s="8">
        <f t="shared" si="0"/>
        <v>-578.7299999999996</v>
      </c>
    </row>
    <row r="22" spans="1:4" ht="12.75" hidden="1">
      <c r="A22" s="9" t="s">
        <v>20</v>
      </c>
      <c r="B22" s="13">
        <v>18129.81</v>
      </c>
      <c r="C22" s="13">
        <v>15371.42</v>
      </c>
      <c r="D22" s="8">
        <f t="shared" si="0"/>
        <v>2758.3900000000012</v>
      </c>
    </row>
    <row r="23" spans="1:4" ht="12.75" hidden="1">
      <c r="A23" s="9" t="s">
        <v>21</v>
      </c>
      <c r="B23" s="13">
        <v>18129.81</v>
      </c>
      <c r="C23" s="13">
        <v>27545.16</v>
      </c>
      <c r="D23" s="13">
        <f t="shared" si="0"/>
        <v>-9415.349999999999</v>
      </c>
    </row>
    <row r="24" spans="1:4" ht="12.75" hidden="1">
      <c r="A24" s="9" t="s">
        <v>22</v>
      </c>
      <c r="B24" s="13">
        <v>16551.91</v>
      </c>
      <c r="C24" s="13">
        <v>17349.03</v>
      </c>
      <c r="D24" s="13">
        <f t="shared" si="0"/>
        <v>-797.119999999999</v>
      </c>
    </row>
    <row r="25" spans="1:4" ht="12.75" hidden="1">
      <c r="A25" s="9" t="s">
        <v>23</v>
      </c>
      <c r="B25" s="13">
        <v>16551.91</v>
      </c>
      <c r="C25" s="13">
        <v>16091.19</v>
      </c>
      <c r="D25" s="13">
        <f t="shared" si="0"/>
        <v>460.71999999999935</v>
      </c>
    </row>
    <row r="26" spans="1:4" ht="12.75">
      <c r="A26" s="7" t="s">
        <v>24</v>
      </c>
      <c r="B26" s="8">
        <f>SUM(B27:B38)</f>
        <v>75.23999999999998</v>
      </c>
      <c r="C26" s="8">
        <f>SUM(C27:C38)</f>
        <v>110.84</v>
      </c>
      <c r="D26" s="8">
        <f>SUM(D27:D38)</f>
        <v>-35.6</v>
      </c>
    </row>
    <row r="27" spans="1:4" ht="12.75" hidden="1">
      <c r="A27" s="9" t="s">
        <v>25</v>
      </c>
      <c r="B27" s="8">
        <v>6.27</v>
      </c>
      <c r="C27" s="8">
        <v>0</v>
      </c>
      <c r="D27" s="8">
        <f aca="true" t="shared" si="1" ref="D27:D38">B27-C27</f>
        <v>6.27</v>
      </c>
    </row>
    <row r="28" spans="1:4" ht="12.75" hidden="1">
      <c r="A28" s="9" t="s">
        <v>13</v>
      </c>
      <c r="B28" s="8">
        <v>6.27</v>
      </c>
      <c r="C28" s="13">
        <v>2.82</v>
      </c>
      <c r="D28" s="8">
        <f t="shared" si="1"/>
        <v>3.4499999999999997</v>
      </c>
    </row>
    <row r="29" spans="1:4" ht="12.75" hidden="1">
      <c r="A29" s="9" t="s">
        <v>14</v>
      </c>
      <c r="B29" s="8">
        <v>6.27</v>
      </c>
      <c r="C29" s="13">
        <v>0</v>
      </c>
      <c r="D29" s="8">
        <f t="shared" si="1"/>
        <v>6.27</v>
      </c>
    </row>
    <row r="30" spans="1:4" ht="12.75" hidden="1">
      <c r="A30" s="9" t="s">
        <v>15</v>
      </c>
      <c r="B30" s="8">
        <v>6.27</v>
      </c>
      <c r="C30" s="13">
        <v>10.92</v>
      </c>
      <c r="D30" s="8">
        <f t="shared" si="1"/>
        <v>-4.65</v>
      </c>
    </row>
    <row r="31" spans="1:4" ht="12.75" hidden="1">
      <c r="A31" s="9" t="s">
        <v>16</v>
      </c>
      <c r="B31" s="8">
        <v>6.27</v>
      </c>
      <c r="C31" s="13">
        <v>0</v>
      </c>
      <c r="D31" s="8">
        <f t="shared" si="1"/>
        <v>6.27</v>
      </c>
    </row>
    <row r="32" spans="1:4" ht="12.75" hidden="1">
      <c r="A32" s="9" t="s">
        <v>17</v>
      </c>
      <c r="B32" s="8">
        <v>6.27</v>
      </c>
      <c r="C32" s="13">
        <v>46.94</v>
      </c>
      <c r="D32" s="8">
        <f t="shared" si="1"/>
        <v>-40.67</v>
      </c>
    </row>
    <row r="33" spans="1:4" ht="12.75" hidden="1">
      <c r="A33" s="9" t="s">
        <v>18</v>
      </c>
      <c r="B33" s="8">
        <v>6.27</v>
      </c>
      <c r="C33" s="13">
        <v>5.84</v>
      </c>
      <c r="D33" s="8">
        <f t="shared" si="1"/>
        <v>0.4299999999999997</v>
      </c>
    </row>
    <row r="34" spans="1:4" ht="12.75" hidden="1">
      <c r="A34" s="9" t="s">
        <v>19</v>
      </c>
      <c r="B34" s="8">
        <v>6.27</v>
      </c>
      <c r="C34" s="13">
        <v>2.92</v>
      </c>
      <c r="D34" s="8">
        <f t="shared" si="1"/>
        <v>3.3499999999999996</v>
      </c>
    </row>
    <row r="35" spans="1:4" ht="12.75" hidden="1">
      <c r="A35" s="9" t="s">
        <v>20</v>
      </c>
      <c r="B35" s="8">
        <v>6.27</v>
      </c>
      <c r="C35" s="13">
        <v>3.06</v>
      </c>
      <c r="D35" s="8">
        <f t="shared" si="1"/>
        <v>3.2099999999999995</v>
      </c>
    </row>
    <row r="36" spans="1:4" ht="12.75" hidden="1">
      <c r="A36" s="9" t="s">
        <v>21</v>
      </c>
      <c r="B36" s="8">
        <v>6.27</v>
      </c>
      <c r="C36" s="13">
        <v>20.1</v>
      </c>
      <c r="D36" s="13">
        <f t="shared" si="1"/>
        <v>-13.830000000000002</v>
      </c>
    </row>
    <row r="37" spans="1:4" ht="12.75" hidden="1">
      <c r="A37" s="9" t="s">
        <v>22</v>
      </c>
      <c r="B37" s="8">
        <v>6.27</v>
      </c>
      <c r="C37" s="13">
        <v>8.62</v>
      </c>
      <c r="D37" s="13">
        <f t="shared" si="1"/>
        <v>-2.3499999999999996</v>
      </c>
    </row>
    <row r="38" spans="1:4" ht="12.75" hidden="1">
      <c r="A38" s="9" t="s">
        <v>23</v>
      </c>
      <c r="B38" s="8">
        <v>6.27</v>
      </c>
      <c r="C38" s="13">
        <v>9.62</v>
      </c>
      <c r="D38" s="13">
        <f t="shared" si="1"/>
        <v>-3.3499999999999996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148</v>
      </c>
      <c r="B42" s="8">
        <f>SUM(B43:B54)</f>
        <v>0</v>
      </c>
      <c r="C42" s="8">
        <f>SUM(C43:C54)</f>
        <v>0</v>
      </c>
      <c r="D42" s="8">
        <f>SUM(D43:D54)</f>
        <v>0</v>
      </c>
    </row>
    <row r="43" spans="1:4" ht="12.75" hidden="1">
      <c r="A43" s="9" t="s">
        <v>25</v>
      </c>
      <c r="B43" s="8"/>
      <c r="C43" s="8"/>
      <c r="D43" s="8">
        <f aca="true" t="shared" si="2" ref="D43:D49">B43-C43</f>
        <v>0</v>
      </c>
    </row>
    <row r="44" spans="1:4" ht="12.75" hidden="1">
      <c r="A44" s="9" t="s">
        <v>13</v>
      </c>
      <c r="B44" s="13"/>
      <c r="C44" s="13"/>
      <c r="D44" s="8">
        <f t="shared" si="2"/>
        <v>0</v>
      </c>
    </row>
    <row r="45" spans="1:4" ht="12.75" hidden="1">
      <c r="A45" s="9" t="s">
        <v>14</v>
      </c>
      <c r="B45" s="13"/>
      <c r="C45" s="13"/>
      <c r="D45" s="8">
        <f t="shared" si="2"/>
        <v>0</v>
      </c>
    </row>
    <row r="46" spans="1:4" ht="12.75" hidden="1">
      <c r="A46" s="9" t="s">
        <v>15</v>
      </c>
      <c r="B46" s="13"/>
      <c r="C46" s="13"/>
      <c r="D46" s="8">
        <f t="shared" si="2"/>
        <v>0</v>
      </c>
    </row>
    <row r="47" spans="1:4" ht="12.75" hidden="1">
      <c r="A47" s="9" t="s">
        <v>16</v>
      </c>
      <c r="B47" s="13"/>
      <c r="C47" s="13"/>
      <c r="D47" s="8">
        <f t="shared" si="2"/>
        <v>0</v>
      </c>
    </row>
    <row r="48" spans="1:4" ht="12.75" hidden="1">
      <c r="A48" s="9" t="s">
        <v>17</v>
      </c>
      <c r="B48" s="13"/>
      <c r="C48" s="13"/>
      <c r="D48" s="8">
        <f t="shared" si="2"/>
        <v>0</v>
      </c>
    </row>
    <row r="49" spans="1:4" ht="12.75" hidden="1">
      <c r="A49" s="9" t="s">
        <v>18</v>
      </c>
      <c r="B49" s="13"/>
      <c r="C49" s="13"/>
      <c r="D49" s="8">
        <f t="shared" si="2"/>
        <v>0</v>
      </c>
    </row>
    <row r="50" spans="1:4" ht="12.75" hidden="1">
      <c r="A50" s="9" t="s">
        <v>19</v>
      </c>
      <c r="B50" s="8"/>
      <c r="C50" s="8"/>
      <c r="D50" s="8">
        <f>B50-C50</f>
        <v>0</v>
      </c>
    </row>
    <row r="51" spans="1:4" ht="12.75" hidden="1">
      <c r="A51" s="9" t="s">
        <v>20</v>
      </c>
      <c r="B51" s="13"/>
      <c r="C51" s="13"/>
      <c r="D51" s="8">
        <f>B51-C51</f>
        <v>0</v>
      </c>
    </row>
    <row r="52" spans="1:4" ht="12.75" hidden="1">
      <c r="A52" s="9" t="s">
        <v>21</v>
      </c>
      <c r="B52" s="13"/>
      <c r="C52" s="13"/>
      <c r="D52" s="13">
        <f>B52-C52</f>
        <v>0</v>
      </c>
    </row>
    <row r="53" spans="1:4" ht="12.75" hidden="1">
      <c r="A53" s="9" t="s">
        <v>22</v>
      </c>
      <c r="B53" s="13"/>
      <c r="C53" s="13"/>
      <c r="D53" s="13">
        <f>B53-C53</f>
        <v>0</v>
      </c>
    </row>
    <row r="54" spans="1:4" ht="12.75" hidden="1">
      <c r="A54" s="9" t="s">
        <v>23</v>
      </c>
      <c r="B54" s="13"/>
      <c r="C54" s="13"/>
      <c r="D54" s="13">
        <f>B54-C54</f>
        <v>0</v>
      </c>
    </row>
    <row r="55" spans="1:4" ht="12.75">
      <c r="A55" s="9" t="s">
        <v>26</v>
      </c>
      <c r="B55" s="8">
        <f>B13+B26+B39+B42</f>
        <v>201696.82</v>
      </c>
      <c r="C55" s="8">
        <f>C13+C26+C39+C42</f>
        <v>206074.53000000003</v>
      </c>
      <c r="D55" s="8">
        <f>D13+D26+D39+D42</f>
        <v>-4377.709999999983</v>
      </c>
    </row>
    <row r="57" spans="1:4" ht="12.75">
      <c r="A57" t="s">
        <v>27</v>
      </c>
      <c r="D57" s="12">
        <f>D55</f>
        <v>-4377.709999999983</v>
      </c>
    </row>
    <row r="59" spans="1:4" ht="12" customHeight="1">
      <c r="A59" s="11" t="s">
        <v>28</v>
      </c>
      <c r="D59" s="12">
        <f>D60+D61</f>
        <v>18166.195</v>
      </c>
    </row>
    <row r="60" spans="1:7" ht="12.75" hidden="1">
      <c r="A60" s="11" t="s">
        <v>29</v>
      </c>
      <c r="D60" s="12">
        <f>(2.75*2*D5)+(1.1*5*D5)+(1.21*5*D5)</f>
        <v>15541.075</v>
      </c>
      <c r="G60" t="s">
        <v>162</v>
      </c>
    </row>
    <row r="61" spans="1:4" ht="12.75" hidden="1">
      <c r="A61" s="11" t="s">
        <v>30</v>
      </c>
      <c r="D61" s="12">
        <f>(0.24*12*D5)</f>
        <v>2625.12</v>
      </c>
    </row>
    <row r="62" spans="1:4" ht="12.75">
      <c r="A62" s="11" t="s">
        <v>31</v>
      </c>
      <c r="D62" s="12">
        <f>(0.66*2*D5)</f>
        <v>1203.18</v>
      </c>
    </row>
    <row r="63" spans="1:4" ht="12.75" hidden="1">
      <c r="A63" s="11" t="s">
        <v>81</v>
      </c>
      <c r="D63" s="12">
        <v>0</v>
      </c>
    </row>
    <row r="64" spans="1:4" ht="12.75">
      <c r="A64" s="11" t="s">
        <v>90</v>
      </c>
      <c r="D64" s="12">
        <f>(2.2*7*D5)+(2.42*5*D5)</f>
        <v>25066.25</v>
      </c>
    </row>
    <row r="65" spans="1:4" ht="12.75" hidden="1">
      <c r="A65" s="11" t="s">
        <v>33</v>
      </c>
      <c r="D65" s="12">
        <v>0</v>
      </c>
    </row>
    <row r="66" spans="1:4" ht="12.75">
      <c r="A66" s="11" t="s">
        <v>80</v>
      </c>
      <c r="D66" s="12">
        <f>(0.72*1*D5)</f>
        <v>656.28</v>
      </c>
    </row>
    <row r="67" spans="1:4" ht="12.75">
      <c r="A67" s="11" t="s">
        <v>34</v>
      </c>
      <c r="D67" s="12">
        <f>(3.3*2*D5)+(1.2*5*D5)+(1.32*5*D5)</f>
        <v>17500.8</v>
      </c>
    </row>
    <row r="68" spans="1:4" ht="12.75">
      <c r="A68" s="11" t="s">
        <v>35</v>
      </c>
      <c r="D68" s="12">
        <f>(2.2*2*D5)+(4.1*5*D5)+(4.51*5*D5)</f>
        <v>43250.674999999996</v>
      </c>
    </row>
    <row r="69" spans="1:4" ht="12.75">
      <c r="A69" s="11" t="s">
        <v>36</v>
      </c>
      <c r="D69" s="12">
        <f>(0.24*7*D5)+(0.26*5*D5)</f>
        <v>2716.27</v>
      </c>
    </row>
    <row r="70" spans="1:4" ht="12.75">
      <c r="A70" s="11" t="s">
        <v>82</v>
      </c>
      <c r="D70" s="12">
        <f>(0.77*2*D5)+(3.2*5*D5)+(3.52*5*D5)</f>
        <v>32030.11</v>
      </c>
    </row>
    <row r="71" spans="1:4" ht="12.75">
      <c r="A71" s="11" t="s">
        <v>37</v>
      </c>
      <c r="D71" s="12">
        <f>2.25*12*D6</f>
        <v>594</v>
      </c>
    </row>
    <row r="72" spans="1:4" ht="12.75">
      <c r="A72" s="11" t="s">
        <v>38</v>
      </c>
      <c r="D72" s="12">
        <v>76893</v>
      </c>
    </row>
    <row r="73" spans="1:4" ht="12.75">
      <c r="A73" s="11" t="s">
        <v>39</v>
      </c>
      <c r="D73" s="12">
        <f>(1.76*2*D5)+(0.75*5*D5)+(0.83*5*D5)</f>
        <v>10409.329999999998</v>
      </c>
    </row>
    <row r="74" spans="1:4" ht="12.75" hidden="1">
      <c r="A74" s="15" t="s">
        <v>65</v>
      </c>
      <c r="D74" s="12">
        <v>0</v>
      </c>
    </row>
    <row r="75" spans="1:4" ht="12.75">
      <c r="A75" s="11"/>
      <c r="D75" s="12"/>
    </row>
    <row r="76" spans="1:4" ht="12.75">
      <c r="A76" s="11" t="s">
        <v>40</v>
      </c>
      <c r="D76" s="12">
        <f>D59+D62+D63+D64+D65+D66+D67+D68+D69+D70+D71+D72+D73</f>
        <v>228486.09</v>
      </c>
    </row>
    <row r="77" spans="1:4" ht="12.75">
      <c r="A77" s="11"/>
      <c r="D77" s="12"/>
    </row>
    <row r="78" spans="1:4" ht="12.75">
      <c r="A78" t="s">
        <v>68</v>
      </c>
      <c r="D78" s="12">
        <f>C55-D76</f>
        <v>-22411.55999999997</v>
      </c>
    </row>
    <row r="80" ht="12.75">
      <c r="D80" s="12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49"/>
  <dimension ref="A2:G80"/>
  <sheetViews>
    <sheetView zoomScalePageLayoutView="0" workbookViewId="0" topLeftCell="A1">
      <selection activeCell="G72" sqref="G72:K83"/>
    </sheetView>
  </sheetViews>
  <sheetFormatPr defaultColWidth="9.140625" defaultRowHeight="12.75"/>
  <cols>
    <col min="1" max="1" width="14.28125" style="0" customWidth="1"/>
    <col min="2" max="2" width="15.140625" style="0" customWidth="1"/>
    <col min="3" max="3" width="13.421875" style="0" customWidth="1"/>
    <col min="4" max="4" width="13.57421875" style="0" customWidth="1"/>
    <col min="7" max="7" width="11.7109375" style="0" bestFit="1" customWidth="1"/>
  </cols>
  <sheetData>
    <row r="2" spans="1:6" ht="25.5" customHeight="1">
      <c r="A2" s="27"/>
      <c r="B2" s="27"/>
      <c r="C2" s="27"/>
      <c r="D2" s="27"/>
      <c r="E2" s="27"/>
      <c r="F2" s="27"/>
    </row>
    <row r="3" spans="1:7" ht="12.75">
      <c r="A3" s="1" t="s">
        <v>0</v>
      </c>
      <c r="B3" s="2" t="s">
        <v>1</v>
      </c>
      <c r="C3" s="1" t="s">
        <v>75</v>
      </c>
      <c r="D3" s="1"/>
      <c r="E3" s="1" t="s">
        <v>2</v>
      </c>
      <c r="F3" s="3">
        <v>4</v>
      </c>
      <c r="G3">
        <v>2015</v>
      </c>
    </row>
    <row r="5" spans="1:5" ht="12.75">
      <c r="A5" t="s">
        <v>3</v>
      </c>
      <c r="D5" s="4">
        <v>1327.5</v>
      </c>
      <c r="E5" s="5" t="s">
        <v>41</v>
      </c>
    </row>
    <row r="6" spans="1:5" ht="12.75">
      <c r="A6" t="s">
        <v>4</v>
      </c>
      <c r="D6" s="4">
        <v>33</v>
      </c>
      <c r="E6" s="5"/>
    </row>
    <row r="7" spans="1:5" ht="12.75">
      <c r="A7" t="s">
        <v>5</v>
      </c>
      <c r="D7" s="4">
        <v>69</v>
      </c>
      <c r="E7" s="5" t="s">
        <v>6</v>
      </c>
    </row>
    <row r="8" spans="1:5" ht="12.75">
      <c r="A8" t="s">
        <v>7</v>
      </c>
      <c r="D8" s="4">
        <v>400</v>
      </c>
      <c r="E8" s="5" t="s">
        <v>41</v>
      </c>
    </row>
    <row r="9" spans="1:5" ht="12.75">
      <c r="A9" t="s">
        <v>8</v>
      </c>
      <c r="D9" s="4">
        <v>2876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302966.21</v>
      </c>
      <c r="C13" s="8">
        <f>SUM(C14:C25)</f>
        <v>284854.87</v>
      </c>
      <c r="D13" s="8">
        <f>SUM(D14:D25)</f>
        <v>18111.34000000002</v>
      </c>
    </row>
    <row r="14" spans="1:4" ht="12.75" hidden="1">
      <c r="A14" s="9" t="s">
        <v>25</v>
      </c>
      <c r="B14" s="8">
        <v>24231.81</v>
      </c>
      <c r="C14" s="8">
        <v>18128.21</v>
      </c>
      <c r="D14" s="8">
        <f aca="true" t="shared" si="0" ref="D14:D25">B14-C14</f>
        <v>6103.600000000002</v>
      </c>
    </row>
    <row r="15" spans="1:4" ht="12.75" hidden="1">
      <c r="A15" s="9" t="s">
        <v>13</v>
      </c>
      <c r="B15" s="8">
        <v>24231.81</v>
      </c>
      <c r="C15" s="13">
        <v>8090.68</v>
      </c>
      <c r="D15" s="8">
        <f t="shared" si="0"/>
        <v>16141.130000000001</v>
      </c>
    </row>
    <row r="16" spans="1:4" ht="12.75" hidden="1">
      <c r="A16" s="9" t="s">
        <v>14</v>
      </c>
      <c r="B16" s="8">
        <v>24231.81</v>
      </c>
      <c r="C16" s="13">
        <v>45314.02</v>
      </c>
      <c r="D16" s="8">
        <f t="shared" si="0"/>
        <v>-21082.209999999995</v>
      </c>
    </row>
    <row r="17" spans="1:4" ht="12.75" hidden="1">
      <c r="A17" s="9" t="s">
        <v>15</v>
      </c>
      <c r="B17" s="8">
        <v>24231.81</v>
      </c>
      <c r="C17" s="13">
        <v>20975.52</v>
      </c>
      <c r="D17" s="8">
        <f t="shared" si="0"/>
        <v>3256.290000000001</v>
      </c>
    </row>
    <row r="18" spans="1:4" ht="12.75" hidden="1">
      <c r="A18" s="9" t="s">
        <v>16</v>
      </c>
      <c r="B18" s="8">
        <v>24231.81</v>
      </c>
      <c r="C18" s="13">
        <v>20465.96</v>
      </c>
      <c r="D18" s="8">
        <f t="shared" si="0"/>
        <v>3765.850000000002</v>
      </c>
    </row>
    <row r="19" spans="1:4" ht="12.75" hidden="1">
      <c r="A19" s="9" t="s">
        <v>17</v>
      </c>
      <c r="B19" s="8">
        <v>24231.81</v>
      </c>
      <c r="C19" s="13">
        <v>26780.06</v>
      </c>
      <c r="D19" s="8">
        <f t="shared" si="0"/>
        <v>-2548.25</v>
      </c>
    </row>
    <row r="20" spans="1:4" ht="12.75" hidden="1">
      <c r="A20" s="9" t="s">
        <v>18</v>
      </c>
      <c r="B20" s="13">
        <v>24246.4</v>
      </c>
      <c r="C20" s="13">
        <v>26513.3</v>
      </c>
      <c r="D20" s="8">
        <f t="shared" si="0"/>
        <v>-2266.899999999998</v>
      </c>
    </row>
    <row r="21" spans="1:4" ht="12.75" hidden="1">
      <c r="A21" s="9" t="s">
        <v>19</v>
      </c>
      <c r="B21" s="13">
        <v>26665.79</v>
      </c>
      <c r="C21" s="13">
        <v>22636.71</v>
      </c>
      <c r="D21" s="8">
        <f t="shared" si="0"/>
        <v>4029.0800000000017</v>
      </c>
    </row>
    <row r="22" spans="1:4" ht="12.75" hidden="1">
      <c r="A22" s="9" t="s">
        <v>20</v>
      </c>
      <c r="B22" s="13">
        <v>26665.79</v>
      </c>
      <c r="C22" s="13">
        <v>22526.15</v>
      </c>
      <c r="D22" s="8">
        <f t="shared" si="0"/>
        <v>4139.639999999999</v>
      </c>
    </row>
    <row r="23" spans="1:4" ht="12.75" hidden="1">
      <c r="A23" s="9" t="s">
        <v>21</v>
      </c>
      <c r="B23" s="13">
        <v>26665.79</v>
      </c>
      <c r="C23" s="13">
        <v>21536.44</v>
      </c>
      <c r="D23" s="13">
        <f t="shared" si="0"/>
        <v>5129.350000000002</v>
      </c>
    </row>
    <row r="24" spans="1:4" ht="12.75" hidden="1">
      <c r="A24" s="9" t="s">
        <v>22</v>
      </c>
      <c r="B24" s="13">
        <v>26665.79</v>
      </c>
      <c r="C24" s="13">
        <v>28409.52</v>
      </c>
      <c r="D24" s="13">
        <f t="shared" si="0"/>
        <v>-1743.7299999999996</v>
      </c>
    </row>
    <row r="25" spans="1:4" ht="12.75" hidden="1">
      <c r="A25" s="9" t="s">
        <v>23</v>
      </c>
      <c r="B25" s="13">
        <v>26665.79</v>
      </c>
      <c r="C25" s="13">
        <v>23478.3</v>
      </c>
      <c r="D25" s="13">
        <f t="shared" si="0"/>
        <v>3187.4900000000016</v>
      </c>
    </row>
    <row r="26" spans="1:4" ht="12.75">
      <c r="A26" s="7" t="s">
        <v>24</v>
      </c>
      <c r="B26" s="8">
        <f>SUM(B27:B38)</f>
        <v>196.62000000000003</v>
      </c>
      <c r="C26" s="8">
        <f>SUM(C27:C38)</f>
        <v>155.79000000000002</v>
      </c>
      <c r="D26" s="8">
        <f>SUM(D27:D38)</f>
        <v>40.830000000000005</v>
      </c>
    </row>
    <row r="27" spans="1:4" ht="12.75" hidden="1">
      <c r="A27" s="9" t="s">
        <v>25</v>
      </c>
      <c r="B27" s="8">
        <v>18.03</v>
      </c>
      <c r="C27" s="8">
        <v>14.59</v>
      </c>
      <c r="D27" s="8">
        <f aca="true" t="shared" si="1" ref="D27:D38">B27-C27</f>
        <v>3.4400000000000013</v>
      </c>
    </row>
    <row r="28" spans="1:4" ht="12.75" hidden="1">
      <c r="A28" s="9" t="s">
        <v>13</v>
      </c>
      <c r="B28" s="8">
        <v>18.03</v>
      </c>
      <c r="C28" s="8">
        <v>2.68</v>
      </c>
      <c r="D28" s="8">
        <f t="shared" si="1"/>
        <v>15.350000000000001</v>
      </c>
    </row>
    <row r="29" spans="1:4" ht="12.75" hidden="1">
      <c r="A29" s="9" t="s">
        <v>14</v>
      </c>
      <c r="B29" s="8">
        <v>18.03</v>
      </c>
      <c r="C29" s="13">
        <v>17.67</v>
      </c>
      <c r="D29" s="8">
        <f t="shared" si="1"/>
        <v>0.35999999999999943</v>
      </c>
    </row>
    <row r="30" spans="1:4" ht="12.75" hidden="1">
      <c r="A30" s="9" t="s">
        <v>15</v>
      </c>
      <c r="B30" s="8">
        <v>18.03</v>
      </c>
      <c r="C30" s="13">
        <v>14.35</v>
      </c>
      <c r="D30" s="8">
        <f t="shared" si="1"/>
        <v>3.6800000000000015</v>
      </c>
    </row>
    <row r="31" spans="1:4" ht="12.75" hidden="1">
      <c r="A31" s="9" t="s">
        <v>16</v>
      </c>
      <c r="B31" s="8">
        <v>18.03</v>
      </c>
      <c r="C31" s="13">
        <v>20.78</v>
      </c>
      <c r="D31" s="8">
        <f t="shared" si="1"/>
        <v>-2.75</v>
      </c>
    </row>
    <row r="32" spans="1:4" ht="12.75" hidden="1">
      <c r="A32" s="9" t="s">
        <v>17</v>
      </c>
      <c r="B32" s="8">
        <v>18.03</v>
      </c>
      <c r="C32" s="13">
        <v>18.8</v>
      </c>
      <c r="D32" s="8">
        <f t="shared" si="1"/>
        <v>-0.7699999999999996</v>
      </c>
    </row>
    <row r="33" spans="1:4" ht="12.75" hidden="1">
      <c r="A33" s="9" t="s">
        <v>18</v>
      </c>
      <c r="B33" s="8">
        <v>14.74</v>
      </c>
      <c r="C33" s="13">
        <v>8.53</v>
      </c>
      <c r="D33" s="8">
        <f t="shared" si="1"/>
        <v>6.210000000000001</v>
      </c>
    </row>
    <row r="34" spans="1:4" ht="12.75" hidden="1">
      <c r="A34" s="9" t="s">
        <v>19</v>
      </c>
      <c r="B34" s="8">
        <v>14.74</v>
      </c>
      <c r="C34" s="13">
        <v>5.85</v>
      </c>
      <c r="D34" s="8">
        <f t="shared" si="1"/>
        <v>8.89</v>
      </c>
    </row>
    <row r="35" spans="1:4" ht="12.75" hidden="1">
      <c r="A35" s="9" t="s">
        <v>20</v>
      </c>
      <c r="B35" s="8">
        <v>14.74</v>
      </c>
      <c r="C35" s="13">
        <v>11.8</v>
      </c>
      <c r="D35" s="8">
        <f t="shared" si="1"/>
        <v>2.9399999999999995</v>
      </c>
    </row>
    <row r="36" spans="1:4" ht="12.75" hidden="1">
      <c r="A36" s="9" t="s">
        <v>21</v>
      </c>
      <c r="B36" s="8">
        <v>14.74</v>
      </c>
      <c r="C36" s="13">
        <v>13.89</v>
      </c>
      <c r="D36" s="13">
        <f t="shared" si="1"/>
        <v>0.8499999999999996</v>
      </c>
    </row>
    <row r="37" spans="1:4" ht="12.75" hidden="1">
      <c r="A37" s="9" t="s">
        <v>22</v>
      </c>
      <c r="B37" s="8">
        <v>14.74</v>
      </c>
      <c r="C37" s="13">
        <v>13.55</v>
      </c>
      <c r="D37" s="13">
        <f t="shared" si="1"/>
        <v>1.1899999999999995</v>
      </c>
    </row>
    <row r="38" spans="1:4" ht="12.75" hidden="1">
      <c r="A38" s="9" t="s">
        <v>23</v>
      </c>
      <c r="B38" s="8">
        <v>14.74</v>
      </c>
      <c r="C38" s="13">
        <v>13.3</v>
      </c>
      <c r="D38" s="13">
        <f t="shared" si="1"/>
        <v>1.4399999999999995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148</v>
      </c>
      <c r="B42" s="8">
        <f>SUM(B43:B54)</f>
        <v>0</v>
      </c>
      <c r="C42" s="8">
        <f>SUM(C43:C54)</f>
        <v>0</v>
      </c>
      <c r="D42" s="8">
        <f>SUM(D43:D54)</f>
        <v>0</v>
      </c>
    </row>
    <row r="43" spans="1:4" ht="12.75" hidden="1">
      <c r="A43" s="9" t="s">
        <v>25</v>
      </c>
      <c r="B43" s="8"/>
      <c r="C43" s="8"/>
      <c r="D43" s="8">
        <f aca="true" t="shared" si="2" ref="D43:D49">B43-C43</f>
        <v>0</v>
      </c>
    </row>
    <row r="44" spans="1:4" ht="12.75" hidden="1">
      <c r="A44" s="9" t="s">
        <v>13</v>
      </c>
      <c r="B44" s="13"/>
      <c r="C44" s="13"/>
      <c r="D44" s="8">
        <f t="shared" si="2"/>
        <v>0</v>
      </c>
    </row>
    <row r="45" spans="1:4" ht="12.75" hidden="1">
      <c r="A45" s="9" t="s">
        <v>14</v>
      </c>
      <c r="B45" s="13"/>
      <c r="C45" s="13"/>
      <c r="D45" s="8">
        <f t="shared" si="2"/>
        <v>0</v>
      </c>
    </row>
    <row r="46" spans="1:4" ht="12.75" hidden="1">
      <c r="A46" s="9" t="s">
        <v>15</v>
      </c>
      <c r="B46" s="13"/>
      <c r="C46" s="13"/>
      <c r="D46" s="8">
        <f t="shared" si="2"/>
        <v>0</v>
      </c>
    </row>
    <row r="47" spans="1:4" ht="12.75" hidden="1">
      <c r="A47" s="9" t="s">
        <v>16</v>
      </c>
      <c r="B47" s="13"/>
      <c r="C47" s="13"/>
      <c r="D47" s="8">
        <f t="shared" si="2"/>
        <v>0</v>
      </c>
    </row>
    <row r="48" spans="1:4" ht="12.75" hidden="1">
      <c r="A48" s="9" t="s">
        <v>17</v>
      </c>
      <c r="B48" s="13"/>
      <c r="C48" s="13"/>
      <c r="D48" s="8">
        <f t="shared" si="2"/>
        <v>0</v>
      </c>
    </row>
    <row r="49" spans="1:4" ht="12.75" hidden="1">
      <c r="A49" s="9" t="s">
        <v>18</v>
      </c>
      <c r="B49" s="13"/>
      <c r="C49" s="13"/>
      <c r="D49" s="8">
        <f t="shared" si="2"/>
        <v>0</v>
      </c>
    </row>
    <row r="50" spans="1:4" ht="12.75" hidden="1">
      <c r="A50" s="9" t="s">
        <v>19</v>
      </c>
      <c r="B50" s="8"/>
      <c r="C50" s="8"/>
      <c r="D50" s="8">
        <f>B50-C50</f>
        <v>0</v>
      </c>
    </row>
    <row r="51" spans="1:4" ht="12.75" hidden="1">
      <c r="A51" s="9" t="s">
        <v>20</v>
      </c>
      <c r="B51" s="13"/>
      <c r="C51" s="13"/>
      <c r="D51" s="8">
        <f>B51-C51</f>
        <v>0</v>
      </c>
    </row>
    <row r="52" spans="1:4" ht="12.75" hidden="1">
      <c r="A52" s="9" t="s">
        <v>21</v>
      </c>
      <c r="B52" s="13"/>
      <c r="C52" s="13"/>
      <c r="D52" s="13">
        <f>B52-C52</f>
        <v>0</v>
      </c>
    </row>
    <row r="53" spans="1:4" ht="12.75" hidden="1">
      <c r="A53" s="9" t="s">
        <v>22</v>
      </c>
      <c r="B53" s="13"/>
      <c r="C53" s="13"/>
      <c r="D53" s="13">
        <f>B53-C53</f>
        <v>0</v>
      </c>
    </row>
    <row r="54" spans="1:4" ht="12.75" hidden="1">
      <c r="A54" s="9" t="s">
        <v>23</v>
      </c>
      <c r="B54" s="13"/>
      <c r="C54" s="13"/>
      <c r="D54" s="13">
        <f>B54-C54</f>
        <v>0</v>
      </c>
    </row>
    <row r="55" spans="1:7" ht="12.75">
      <c r="A55" s="9" t="s">
        <v>26</v>
      </c>
      <c r="B55" s="8">
        <f>B13+B26+B39+B42</f>
        <v>303162.83</v>
      </c>
      <c r="C55" s="8">
        <f>C13+C26+C39+C42</f>
        <v>285010.66</v>
      </c>
      <c r="D55" s="8">
        <f>D13+D26+D39+D42</f>
        <v>18152.17000000002</v>
      </c>
      <c r="G55" s="12"/>
    </row>
    <row r="57" spans="1:4" ht="12.75">
      <c r="A57" t="s">
        <v>27</v>
      </c>
      <c r="D57" s="12">
        <f>D55</f>
        <v>18152.17000000002</v>
      </c>
    </row>
    <row r="58" ht="12.75">
      <c r="G58" s="19"/>
    </row>
    <row r="59" spans="1:4" ht="12.75">
      <c r="A59" s="11" t="s">
        <v>28</v>
      </c>
      <c r="D59" s="12">
        <f>D60+D61</f>
        <v>26457.075</v>
      </c>
    </row>
    <row r="60" spans="1:4" ht="12.75" hidden="1">
      <c r="A60" s="11" t="s">
        <v>29</v>
      </c>
      <c r="D60" s="12">
        <f>(2.75*2*D5)+(1.1*5*D5)+(1.21*5*D5)</f>
        <v>22633.875</v>
      </c>
    </row>
    <row r="61" spans="1:4" ht="12.75" hidden="1">
      <c r="A61" s="11" t="s">
        <v>30</v>
      </c>
      <c r="D61" s="12">
        <f>(0.24*12*D5)</f>
        <v>3823.2</v>
      </c>
    </row>
    <row r="62" spans="1:7" ht="12.75">
      <c r="A62" s="11" t="s">
        <v>31</v>
      </c>
      <c r="D62" s="12">
        <f>(0.66*2*D5)</f>
        <v>1752.3000000000002</v>
      </c>
      <c r="G62" s="19"/>
    </row>
    <row r="63" spans="1:4" ht="12.75">
      <c r="A63" s="11" t="s">
        <v>81</v>
      </c>
      <c r="D63" s="12">
        <f>(0.5*2*D5)+(0.55*5*D5)</f>
        <v>4978.125</v>
      </c>
    </row>
    <row r="64" spans="1:4" ht="12.75">
      <c r="A64" s="11" t="s">
        <v>90</v>
      </c>
      <c r="D64" s="12">
        <f>(2.2*7*D5)+(2.42*5*D5)</f>
        <v>36506.25</v>
      </c>
    </row>
    <row r="65" spans="1:4" ht="12.75" customHeight="1" hidden="1">
      <c r="A65" s="11" t="s">
        <v>33</v>
      </c>
      <c r="D65" s="12">
        <v>0</v>
      </c>
    </row>
    <row r="66" spans="1:4" ht="12.75">
      <c r="A66" s="11" t="s">
        <v>80</v>
      </c>
      <c r="D66" s="12">
        <f>(0.72*1*D5)</f>
        <v>955.8</v>
      </c>
    </row>
    <row r="67" spans="1:4" ht="12.75">
      <c r="A67" s="11" t="s">
        <v>34</v>
      </c>
      <c r="D67" s="12">
        <f>(3.3*2*D5)+(1.2*5*D5)+(1.32*5*D5)</f>
        <v>25488</v>
      </c>
    </row>
    <row r="68" spans="1:4" ht="12.75">
      <c r="A68" s="11" t="s">
        <v>35</v>
      </c>
      <c r="D68" s="12">
        <f>(2.2*2*D5)+(4.1*5*D5)+(4.51*5*D5)</f>
        <v>62989.875</v>
      </c>
    </row>
    <row r="69" spans="1:4" ht="12.75">
      <c r="A69" s="11" t="s">
        <v>36</v>
      </c>
      <c r="D69" s="12">
        <f>(0.24*7*D5)+(0.26*5*D5)</f>
        <v>3955.95</v>
      </c>
    </row>
    <row r="70" spans="1:4" ht="12.75">
      <c r="A70" s="11" t="s">
        <v>82</v>
      </c>
      <c r="D70" s="12">
        <f>(0.77*2*D5)+(3.2*5*D5)+(3.52*5*D5)</f>
        <v>46648.350000000006</v>
      </c>
    </row>
    <row r="71" spans="1:4" ht="12.75">
      <c r="A71" s="11" t="s">
        <v>37</v>
      </c>
      <c r="D71" s="12">
        <f>2.25*12*D6</f>
        <v>891</v>
      </c>
    </row>
    <row r="72" spans="1:4" ht="12.75">
      <c r="A72" s="11" t="s">
        <v>38</v>
      </c>
      <c r="D72" s="12">
        <v>48537</v>
      </c>
    </row>
    <row r="73" spans="1:4" ht="12.75">
      <c r="A73" s="11" t="s">
        <v>39</v>
      </c>
      <c r="D73" s="12">
        <f>(1.76*2*D5)+(0.75*5*D5)+(0.83*5*D5)</f>
        <v>15160.05</v>
      </c>
    </row>
    <row r="74" spans="1:4" ht="12.75">
      <c r="A74" s="15"/>
      <c r="D74" s="12"/>
    </row>
    <row r="75" spans="1:4" ht="12.75">
      <c r="A75" s="11"/>
      <c r="D75" s="12"/>
    </row>
    <row r="76" spans="1:4" ht="12.75">
      <c r="A76" s="11" t="s">
        <v>40</v>
      </c>
      <c r="D76" s="12">
        <f>D59+D62+D63+D64+D65+D66+D67+D68+D69+D70+D71+D72+D73+D74</f>
        <v>274319.775</v>
      </c>
    </row>
    <row r="77" spans="1:4" ht="12.75">
      <c r="A77" s="11"/>
      <c r="D77" s="12"/>
    </row>
    <row r="78" spans="1:4" ht="12.75">
      <c r="A78" t="s">
        <v>68</v>
      </c>
      <c r="D78" s="12">
        <f>C55-D76</f>
        <v>10690.884999999951</v>
      </c>
    </row>
    <row r="79" ht="12.75">
      <c r="D79" s="12"/>
    </row>
    <row r="80" ht="12.75">
      <c r="D80" s="12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55"/>
  <dimension ref="A3:G80"/>
  <sheetViews>
    <sheetView zoomScalePageLayoutView="0" workbookViewId="0" topLeftCell="A4">
      <selection activeCell="A63" sqref="A63:IV63"/>
    </sheetView>
  </sheetViews>
  <sheetFormatPr defaultColWidth="9.140625" defaultRowHeight="12.75"/>
  <cols>
    <col min="1" max="1" width="16.28125" style="0" customWidth="1"/>
    <col min="2" max="2" width="13.421875" style="0" customWidth="1"/>
    <col min="3" max="3" width="13.00390625" style="0" customWidth="1"/>
    <col min="4" max="4" width="12.8515625" style="0" customWidth="1"/>
  </cols>
  <sheetData>
    <row r="3" spans="1:7" ht="12.75">
      <c r="A3" s="1" t="s">
        <v>0</v>
      </c>
      <c r="B3" s="2" t="s">
        <v>1</v>
      </c>
      <c r="C3" s="1" t="s">
        <v>56</v>
      </c>
      <c r="D3" s="1"/>
      <c r="E3" s="1" t="s">
        <v>2</v>
      </c>
      <c r="F3" s="3">
        <v>120</v>
      </c>
      <c r="G3">
        <v>2015</v>
      </c>
    </row>
    <row r="5" spans="1:5" ht="12.75">
      <c r="A5" t="s">
        <v>3</v>
      </c>
      <c r="D5" s="4">
        <v>1549.2</v>
      </c>
      <c r="E5" s="5" t="s">
        <v>41</v>
      </c>
    </row>
    <row r="6" spans="1:5" ht="12.75">
      <c r="A6" t="s">
        <v>4</v>
      </c>
      <c r="D6" s="4">
        <v>27</v>
      </c>
      <c r="E6" s="5"/>
    </row>
    <row r="7" spans="1:5" ht="12.75">
      <c r="A7" t="s">
        <v>5</v>
      </c>
      <c r="D7" s="4">
        <v>66</v>
      </c>
      <c r="E7" s="5" t="s">
        <v>6</v>
      </c>
    </row>
    <row r="8" spans="1:5" ht="12.75">
      <c r="A8" t="s">
        <v>7</v>
      </c>
      <c r="D8" s="4">
        <v>170.1</v>
      </c>
      <c r="E8" s="5" t="s">
        <v>41</v>
      </c>
    </row>
    <row r="9" spans="1:5" ht="12.75">
      <c r="A9" t="s">
        <v>8</v>
      </c>
      <c r="D9" s="4">
        <v>235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353277.81999999995</v>
      </c>
      <c r="C13" s="8">
        <f>SUM(C14:C25)</f>
        <v>324510.22000000003</v>
      </c>
      <c r="D13" s="8">
        <f>SUM(D14:D25)</f>
        <v>28767.600000000006</v>
      </c>
    </row>
    <row r="14" spans="1:4" ht="12.75" hidden="1">
      <c r="A14" s="9" t="s">
        <v>25</v>
      </c>
      <c r="B14" s="8">
        <v>28264.71</v>
      </c>
      <c r="C14" s="8">
        <v>24822.34</v>
      </c>
      <c r="D14" s="8">
        <f aca="true" t="shared" si="0" ref="D14:D25">B14-C14</f>
        <v>3442.369999999999</v>
      </c>
    </row>
    <row r="15" spans="1:4" ht="12.75" hidden="1">
      <c r="A15" s="9" t="s">
        <v>13</v>
      </c>
      <c r="B15" s="8">
        <v>28264.71</v>
      </c>
      <c r="C15" s="13">
        <v>21679.69</v>
      </c>
      <c r="D15" s="8">
        <f t="shared" si="0"/>
        <v>6585.02</v>
      </c>
    </row>
    <row r="16" spans="1:4" ht="12.75" hidden="1">
      <c r="A16" s="9" t="s">
        <v>14</v>
      </c>
      <c r="B16" s="8">
        <v>28264.71</v>
      </c>
      <c r="C16" s="13">
        <v>29403.98</v>
      </c>
      <c r="D16" s="8">
        <f t="shared" si="0"/>
        <v>-1139.2700000000004</v>
      </c>
    </row>
    <row r="17" spans="1:4" ht="12.75" hidden="1">
      <c r="A17" s="9" t="s">
        <v>15</v>
      </c>
      <c r="B17" s="8">
        <v>28264.71</v>
      </c>
      <c r="C17" s="13">
        <v>24524.85</v>
      </c>
      <c r="D17" s="8">
        <f t="shared" si="0"/>
        <v>3739.8600000000006</v>
      </c>
    </row>
    <row r="18" spans="1:4" ht="12.75" hidden="1">
      <c r="A18" s="9" t="s">
        <v>16</v>
      </c>
      <c r="B18" s="8">
        <v>28264.71</v>
      </c>
      <c r="C18" s="13">
        <v>31011.62</v>
      </c>
      <c r="D18" s="8">
        <f t="shared" si="0"/>
        <v>-2746.91</v>
      </c>
    </row>
    <row r="19" spans="1:4" ht="12.75" hidden="1">
      <c r="A19" s="9" t="s">
        <v>17</v>
      </c>
      <c r="B19" s="8">
        <v>28264.71</v>
      </c>
      <c r="C19" s="13">
        <v>28599.23</v>
      </c>
      <c r="D19" s="8">
        <f t="shared" si="0"/>
        <v>-334.52000000000044</v>
      </c>
    </row>
    <row r="20" spans="1:4" ht="12.75" hidden="1">
      <c r="A20" s="9" t="s">
        <v>18</v>
      </c>
      <c r="B20" s="8">
        <v>28264.71</v>
      </c>
      <c r="C20" s="13">
        <v>25170.78</v>
      </c>
      <c r="D20" s="8">
        <f t="shared" si="0"/>
        <v>3093.9300000000003</v>
      </c>
    </row>
    <row r="21" spans="1:4" ht="12.75" hidden="1">
      <c r="A21" s="9" t="s">
        <v>19</v>
      </c>
      <c r="B21" s="13">
        <v>31084.97</v>
      </c>
      <c r="C21" s="13">
        <v>29349.41</v>
      </c>
      <c r="D21" s="8">
        <f t="shared" si="0"/>
        <v>1735.5600000000013</v>
      </c>
    </row>
    <row r="22" spans="1:4" ht="12.75" hidden="1">
      <c r="A22" s="9" t="s">
        <v>20</v>
      </c>
      <c r="B22" s="13">
        <v>31084.97</v>
      </c>
      <c r="C22" s="13">
        <v>29254.47</v>
      </c>
      <c r="D22" s="8">
        <f t="shared" si="0"/>
        <v>1830.5</v>
      </c>
    </row>
    <row r="23" spans="1:4" ht="12.75" hidden="1">
      <c r="A23" s="9" t="s">
        <v>21</v>
      </c>
      <c r="B23" s="13">
        <v>31084.97</v>
      </c>
      <c r="C23" s="13">
        <v>26945.2</v>
      </c>
      <c r="D23" s="13">
        <f t="shared" si="0"/>
        <v>4139.77</v>
      </c>
    </row>
    <row r="24" spans="1:4" ht="12.75" hidden="1">
      <c r="A24" s="9" t="s">
        <v>22</v>
      </c>
      <c r="B24" s="13">
        <v>31084.97</v>
      </c>
      <c r="C24" s="13">
        <v>30294.46</v>
      </c>
      <c r="D24" s="13">
        <f t="shared" si="0"/>
        <v>790.510000000002</v>
      </c>
    </row>
    <row r="25" spans="1:4" ht="12.75" hidden="1">
      <c r="A25" s="9" t="s">
        <v>23</v>
      </c>
      <c r="B25" s="13">
        <v>31084.97</v>
      </c>
      <c r="C25" s="13">
        <v>23454.19</v>
      </c>
      <c r="D25" s="13">
        <f t="shared" si="0"/>
        <v>7630.7800000000025</v>
      </c>
    </row>
    <row r="26" spans="1:4" ht="12.75">
      <c r="A26" s="7" t="s">
        <v>24</v>
      </c>
      <c r="B26" s="8">
        <f>SUM(B27:B38)</f>
        <v>303.47999999999996</v>
      </c>
      <c r="C26" s="8">
        <f>SUM(C27:C38)</f>
        <v>254.03</v>
      </c>
      <c r="D26" s="8">
        <f>SUM(D27:D38)</f>
        <v>49.44999999999999</v>
      </c>
    </row>
    <row r="27" spans="1:4" ht="12.75" hidden="1">
      <c r="A27" s="9" t="s">
        <v>25</v>
      </c>
      <c r="B27" s="8">
        <v>25.29</v>
      </c>
      <c r="C27" s="8">
        <v>18.89</v>
      </c>
      <c r="D27" s="8">
        <f aca="true" t="shared" si="1" ref="D27:D38">B27-C27</f>
        <v>6.399999999999999</v>
      </c>
    </row>
    <row r="28" spans="1:4" ht="12.75" hidden="1">
      <c r="A28" s="9" t="s">
        <v>13</v>
      </c>
      <c r="B28" s="8">
        <v>25.29</v>
      </c>
      <c r="C28" s="13">
        <v>14.55</v>
      </c>
      <c r="D28" s="8">
        <f t="shared" si="1"/>
        <v>10.739999999999998</v>
      </c>
    </row>
    <row r="29" spans="1:4" ht="12.75" hidden="1">
      <c r="A29" s="9" t="s">
        <v>14</v>
      </c>
      <c r="B29" s="8">
        <v>25.29</v>
      </c>
      <c r="C29" s="13">
        <v>20.67</v>
      </c>
      <c r="D29" s="8">
        <f t="shared" si="1"/>
        <v>4.619999999999997</v>
      </c>
    </row>
    <row r="30" spans="1:4" ht="12.75" hidden="1">
      <c r="A30" s="9" t="s">
        <v>15</v>
      </c>
      <c r="B30" s="8">
        <v>25.29</v>
      </c>
      <c r="C30" s="13">
        <v>34.8</v>
      </c>
      <c r="D30" s="8">
        <f t="shared" si="1"/>
        <v>-9.509999999999998</v>
      </c>
    </row>
    <row r="31" spans="1:4" ht="12.75" hidden="1">
      <c r="A31" s="9" t="s">
        <v>16</v>
      </c>
      <c r="B31" s="8">
        <v>25.29</v>
      </c>
      <c r="C31" s="13">
        <v>23.16</v>
      </c>
      <c r="D31" s="8">
        <f t="shared" si="1"/>
        <v>2.129999999999999</v>
      </c>
    </row>
    <row r="32" spans="1:4" ht="12.75" hidden="1">
      <c r="A32" s="9" t="s">
        <v>17</v>
      </c>
      <c r="B32" s="8">
        <v>25.29</v>
      </c>
      <c r="C32" s="13">
        <v>27.43</v>
      </c>
      <c r="D32" s="8">
        <f t="shared" si="1"/>
        <v>-2.1400000000000006</v>
      </c>
    </row>
    <row r="33" spans="1:4" ht="12.75" hidden="1">
      <c r="A33" s="9" t="s">
        <v>18</v>
      </c>
      <c r="B33" s="8">
        <v>25.29</v>
      </c>
      <c r="C33" s="13">
        <v>22.5</v>
      </c>
      <c r="D33" s="8">
        <f t="shared" si="1"/>
        <v>2.789999999999999</v>
      </c>
    </row>
    <row r="34" spans="1:4" ht="12.75" hidden="1">
      <c r="A34" s="9" t="s">
        <v>19</v>
      </c>
      <c r="B34" s="8">
        <v>25.29</v>
      </c>
      <c r="C34" s="13">
        <v>19.7</v>
      </c>
      <c r="D34" s="8">
        <f t="shared" si="1"/>
        <v>5.59</v>
      </c>
    </row>
    <row r="35" spans="1:4" ht="12.75" hidden="1">
      <c r="A35" s="9" t="s">
        <v>20</v>
      </c>
      <c r="B35" s="8">
        <v>25.29</v>
      </c>
      <c r="C35" s="13">
        <v>22.46</v>
      </c>
      <c r="D35" s="8">
        <f t="shared" si="1"/>
        <v>2.8299999999999983</v>
      </c>
    </row>
    <row r="36" spans="1:4" ht="12.75" hidden="1">
      <c r="A36" s="9" t="s">
        <v>21</v>
      </c>
      <c r="B36" s="8">
        <v>25.29</v>
      </c>
      <c r="C36" s="13">
        <v>9.56</v>
      </c>
      <c r="D36" s="13">
        <f t="shared" si="1"/>
        <v>15.729999999999999</v>
      </c>
    </row>
    <row r="37" spans="1:4" ht="12.75" hidden="1">
      <c r="A37" s="9" t="s">
        <v>22</v>
      </c>
      <c r="B37" s="8">
        <v>25.29</v>
      </c>
      <c r="C37" s="13">
        <v>27.5</v>
      </c>
      <c r="D37" s="13">
        <f t="shared" si="1"/>
        <v>-2.210000000000001</v>
      </c>
    </row>
    <row r="38" spans="1:4" ht="12.75" hidden="1">
      <c r="A38" s="9" t="s">
        <v>23</v>
      </c>
      <c r="B38" s="8">
        <v>25.29</v>
      </c>
      <c r="C38" s="13">
        <v>12.81</v>
      </c>
      <c r="D38" s="13">
        <f t="shared" si="1"/>
        <v>12.479999999999999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148</v>
      </c>
      <c r="B42" s="8">
        <f>SUM(B43:B54)</f>
        <v>0</v>
      </c>
      <c r="C42" s="8">
        <f>SUM(C43:C54)</f>
        <v>0</v>
      </c>
      <c r="D42" s="8">
        <f>SUM(D43:D54)</f>
        <v>0</v>
      </c>
    </row>
    <row r="43" spans="1:4" ht="12.75" hidden="1">
      <c r="A43" s="9" t="s">
        <v>25</v>
      </c>
      <c r="B43" s="8"/>
      <c r="C43" s="8"/>
      <c r="D43" s="8">
        <f aca="true" t="shared" si="2" ref="D43:D49">B43-C43</f>
        <v>0</v>
      </c>
    </row>
    <row r="44" spans="1:4" ht="12.75" hidden="1">
      <c r="A44" s="9" t="s">
        <v>13</v>
      </c>
      <c r="B44" s="13"/>
      <c r="C44" s="13"/>
      <c r="D44" s="8">
        <f t="shared" si="2"/>
        <v>0</v>
      </c>
    </row>
    <row r="45" spans="1:4" ht="12.75" hidden="1">
      <c r="A45" s="9" t="s">
        <v>14</v>
      </c>
      <c r="B45" s="13"/>
      <c r="C45" s="13"/>
      <c r="D45" s="8">
        <f t="shared" si="2"/>
        <v>0</v>
      </c>
    </row>
    <row r="46" spans="1:4" ht="12.75" hidden="1">
      <c r="A46" s="9" t="s">
        <v>15</v>
      </c>
      <c r="B46" s="13"/>
      <c r="C46" s="13"/>
      <c r="D46" s="8">
        <f t="shared" si="2"/>
        <v>0</v>
      </c>
    </row>
    <row r="47" spans="1:4" ht="12.75" hidden="1">
      <c r="A47" s="9" t="s">
        <v>16</v>
      </c>
      <c r="B47" s="13"/>
      <c r="C47" s="13"/>
      <c r="D47" s="8">
        <f t="shared" si="2"/>
        <v>0</v>
      </c>
    </row>
    <row r="48" spans="1:4" ht="12.75" hidden="1">
      <c r="A48" s="9" t="s">
        <v>17</v>
      </c>
      <c r="B48" s="13"/>
      <c r="C48" s="13"/>
      <c r="D48" s="8">
        <f t="shared" si="2"/>
        <v>0</v>
      </c>
    </row>
    <row r="49" spans="1:4" ht="12.75" hidden="1">
      <c r="A49" s="9" t="s">
        <v>18</v>
      </c>
      <c r="B49" s="13"/>
      <c r="C49" s="13"/>
      <c r="D49" s="8">
        <f t="shared" si="2"/>
        <v>0</v>
      </c>
    </row>
    <row r="50" spans="1:4" ht="12.75" hidden="1">
      <c r="A50" s="9" t="s">
        <v>19</v>
      </c>
      <c r="B50" s="8"/>
      <c r="C50" s="8"/>
      <c r="D50" s="8">
        <f>B50-C50</f>
        <v>0</v>
      </c>
    </row>
    <row r="51" spans="1:4" ht="12.75" hidden="1">
      <c r="A51" s="9" t="s">
        <v>20</v>
      </c>
      <c r="B51" s="13"/>
      <c r="C51" s="13"/>
      <c r="D51" s="8">
        <f>B51-C51</f>
        <v>0</v>
      </c>
    </row>
    <row r="52" spans="1:4" ht="12.75" hidden="1">
      <c r="A52" s="9" t="s">
        <v>21</v>
      </c>
      <c r="B52" s="13"/>
      <c r="C52" s="13"/>
      <c r="D52" s="13">
        <f>B52-C52</f>
        <v>0</v>
      </c>
    </row>
    <row r="53" spans="1:4" ht="12.75" hidden="1">
      <c r="A53" s="9" t="s">
        <v>22</v>
      </c>
      <c r="B53" s="13"/>
      <c r="C53" s="13"/>
      <c r="D53" s="13">
        <f>B53-C53</f>
        <v>0</v>
      </c>
    </row>
    <row r="54" spans="1:4" ht="12.75" hidden="1">
      <c r="A54" s="9" t="s">
        <v>23</v>
      </c>
      <c r="B54" s="13"/>
      <c r="C54" s="13"/>
      <c r="D54" s="13">
        <f>B54-C54</f>
        <v>0</v>
      </c>
    </row>
    <row r="55" spans="1:4" ht="12.75">
      <c r="A55" s="9" t="s">
        <v>26</v>
      </c>
      <c r="B55" s="8">
        <f>B13+B26</f>
        <v>353581.29999999993</v>
      </c>
      <c r="C55" s="8">
        <f>C13+C26</f>
        <v>324764.25000000006</v>
      </c>
      <c r="D55" s="8">
        <f>D13+D26</f>
        <v>28817.050000000007</v>
      </c>
    </row>
    <row r="57" spans="1:4" ht="12.75">
      <c r="A57" t="s">
        <v>27</v>
      </c>
      <c r="D57" s="12">
        <f>D55</f>
        <v>28817.050000000007</v>
      </c>
    </row>
    <row r="59" spans="1:4" ht="12.75">
      <c r="A59" s="11" t="s">
        <v>28</v>
      </c>
      <c r="D59" s="12">
        <f>D60+D61</f>
        <v>30875.556</v>
      </c>
    </row>
    <row r="60" spans="1:4" ht="12.75" hidden="1">
      <c r="A60" s="11" t="s">
        <v>29</v>
      </c>
      <c r="D60" s="12">
        <f>(2.75*2*D5)+(1.1*5*D5)+(1.21*5*D5)</f>
        <v>26413.86</v>
      </c>
    </row>
    <row r="61" spans="1:4" ht="12.75" hidden="1">
      <c r="A61" s="11" t="s">
        <v>30</v>
      </c>
      <c r="D61" s="12">
        <f>(0.24*12*D5)</f>
        <v>4461.696</v>
      </c>
    </row>
    <row r="62" spans="1:4" ht="12.75">
      <c r="A62" s="11" t="s">
        <v>31</v>
      </c>
      <c r="D62" s="12">
        <f>(0.66*2*D5)</f>
        <v>2044.9440000000002</v>
      </c>
    </row>
    <row r="63" spans="1:4" ht="12.75" hidden="1">
      <c r="A63" s="11" t="s">
        <v>81</v>
      </c>
      <c r="D63" s="12">
        <v>0</v>
      </c>
    </row>
    <row r="64" spans="1:4" ht="12.75">
      <c r="A64" s="11" t="s">
        <v>90</v>
      </c>
      <c r="D64" s="12">
        <f>(2.2*7*D5)+(2.42*5*D5)</f>
        <v>42603</v>
      </c>
    </row>
    <row r="65" spans="1:4" ht="12.75" hidden="1">
      <c r="A65" s="11" t="s">
        <v>33</v>
      </c>
      <c r="D65" s="12">
        <v>0</v>
      </c>
    </row>
    <row r="66" spans="1:4" ht="12.75">
      <c r="A66" s="11" t="s">
        <v>80</v>
      </c>
      <c r="D66" s="12">
        <f>(0.72*2*D5)</f>
        <v>2230.848</v>
      </c>
    </row>
    <row r="67" spans="1:4" ht="12.75">
      <c r="A67" s="11" t="s">
        <v>34</v>
      </c>
      <c r="D67" s="12">
        <f>(3.3*2*D5)+(1.2*5*D5)+(1.32*5*D5)</f>
        <v>29744.64</v>
      </c>
    </row>
    <row r="68" spans="1:4" ht="12.75">
      <c r="A68" s="11" t="s">
        <v>35</v>
      </c>
      <c r="D68" s="12">
        <f>(2.2*2*D5)+(4.1*5*D5)+(4.51*5*D5)</f>
        <v>73509.54000000001</v>
      </c>
    </row>
    <row r="69" spans="1:4" ht="12.75">
      <c r="A69" s="11" t="s">
        <v>36</v>
      </c>
      <c r="D69" s="12">
        <f>(0.24*7*D5)+(0.26*5*D5)</f>
        <v>4616.616</v>
      </c>
    </row>
    <row r="70" spans="1:4" ht="12.75">
      <c r="A70" s="11" t="s">
        <v>82</v>
      </c>
      <c r="D70" s="12">
        <f>(0.77*2*D5)+(3.2*5*D5)+(3.52*5*D5)</f>
        <v>54438.888000000006</v>
      </c>
    </row>
    <row r="71" spans="1:4" ht="12.75">
      <c r="A71" s="11" t="s">
        <v>37</v>
      </c>
      <c r="D71" s="12">
        <f>2.25*12*D6</f>
        <v>729</v>
      </c>
    </row>
    <row r="72" spans="1:7" ht="12.75">
      <c r="A72" s="11" t="s">
        <v>38</v>
      </c>
      <c r="D72" s="12">
        <v>1855</v>
      </c>
      <c r="G72" s="17"/>
    </row>
    <row r="73" spans="1:7" ht="12.75">
      <c r="A73" s="11" t="s">
        <v>39</v>
      </c>
      <c r="D73" s="12">
        <f>(1.76*2*D5)+(0.75*5*D5)+(0.83*5*D5)</f>
        <v>17691.864</v>
      </c>
      <c r="G73" s="17"/>
    </row>
    <row r="74" spans="1:7" ht="12.75" hidden="1">
      <c r="A74" s="15" t="s">
        <v>65</v>
      </c>
      <c r="D74" s="12">
        <v>0</v>
      </c>
      <c r="G74" s="17"/>
    </row>
    <row r="75" spans="1:7" ht="12.75">
      <c r="A75" s="11"/>
      <c r="D75" s="12"/>
      <c r="G75" s="17"/>
    </row>
    <row r="76" spans="1:7" ht="12.75">
      <c r="A76" s="11" t="s">
        <v>40</v>
      </c>
      <c r="D76" s="12">
        <f>D59+D62+D63+D64+D65+D66+D67+D68+D69+D70+D71+D72+D73+D74</f>
        <v>260339.896</v>
      </c>
      <c r="G76" s="18"/>
    </row>
    <row r="77" spans="1:4" ht="12.75">
      <c r="A77" s="11"/>
      <c r="D77" s="12"/>
    </row>
    <row r="78" spans="1:4" ht="12.75">
      <c r="A78" t="s">
        <v>72</v>
      </c>
      <c r="D78" s="12">
        <f>C55-D76</f>
        <v>64424.35400000005</v>
      </c>
    </row>
    <row r="80" ht="12.75">
      <c r="D8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60"/>
  <dimension ref="A1:N104"/>
  <sheetViews>
    <sheetView zoomScalePageLayoutView="0" workbookViewId="0" topLeftCell="H1">
      <selection activeCell="N82" sqref="N82:Q86"/>
    </sheetView>
  </sheetViews>
  <sheetFormatPr defaultColWidth="9.140625" defaultRowHeight="12.75"/>
  <cols>
    <col min="1" max="1" width="14.28125" style="0" hidden="1" customWidth="1"/>
    <col min="2" max="2" width="13.140625" style="0" hidden="1" customWidth="1"/>
    <col min="3" max="3" width="14.28125" style="0" hidden="1" customWidth="1"/>
    <col min="4" max="4" width="4.8515625" style="0" hidden="1" customWidth="1"/>
    <col min="5" max="5" width="3.8515625" style="0" hidden="1" customWidth="1"/>
    <col min="6" max="6" width="0" style="0" hidden="1" customWidth="1"/>
    <col min="7" max="7" width="25.28125" style="0" hidden="1" customWidth="1"/>
    <col min="8" max="8" width="15.00390625" style="0" customWidth="1"/>
    <col min="9" max="9" width="15.421875" style="0" customWidth="1"/>
    <col min="10" max="10" width="12.7109375" style="0" customWidth="1"/>
    <col min="11" max="11" width="13.00390625" style="0" customWidth="1"/>
  </cols>
  <sheetData>
    <row r="1" spans="1:11" ht="12.75">
      <c r="A1" s="1"/>
      <c r="B1" s="1"/>
      <c r="C1" s="1"/>
      <c r="I1" s="1"/>
      <c r="J1" s="1"/>
      <c r="K1" s="1"/>
    </row>
    <row r="3" spans="1:14" ht="12.75">
      <c r="A3" s="2" t="s">
        <v>1</v>
      </c>
      <c r="B3" s="1" t="s">
        <v>56</v>
      </c>
      <c r="C3" s="1"/>
      <c r="D3" s="1" t="s">
        <v>2</v>
      </c>
      <c r="E3" s="3">
        <v>134</v>
      </c>
      <c r="F3">
        <v>2014</v>
      </c>
      <c r="H3" s="1" t="s">
        <v>0</v>
      </c>
      <c r="I3" s="2" t="s">
        <v>1</v>
      </c>
      <c r="J3" s="1" t="s">
        <v>56</v>
      </c>
      <c r="K3" s="1"/>
      <c r="L3" s="1" t="s">
        <v>2</v>
      </c>
      <c r="M3" s="3">
        <v>134</v>
      </c>
      <c r="N3">
        <v>2015</v>
      </c>
    </row>
    <row r="5" spans="3:12" ht="12.75">
      <c r="C5" s="4">
        <v>1573.7</v>
      </c>
      <c r="D5" s="5" t="s">
        <v>41</v>
      </c>
      <c r="H5" t="s">
        <v>3</v>
      </c>
      <c r="K5" s="4">
        <v>1573.7</v>
      </c>
      <c r="L5" s="5" t="s">
        <v>41</v>
      </c>
    </row>
    <row r="6" spans="3:12" ht="12.75">
      <c r="C6" s="4">
        <v>27</v>
      </c>
      <c r="D6" s="5"/>
      <c r="H6" t="s">
        <v>4</v>
      </c>
      <c r="K6" s="4">
        <v>27</v>
      </c>
      <c r="L6" s="5"/>
    </row>
    <row r="7" spans="3:12" ht="12.75">
      <c r="C7" s="4">
        <v>67</v>
      </c>
      <c r="D7" s="5" t="s">
        <v>6</v>
      </c>
      <c r="H7" t="s">
        <v>5</v>
      </c>
      <c r="K7" s="4">
        <v>67</v>
      </c>
      <c r="L7" s="5" t="s">
        <v>6</v>
      </c>
    </row>
    <row r="8" spans="3:12" ht="12.75">
      <c r="C8" s="4">
        <v>144.6</v>
      </c>
      <c r="D8" s="5" t="s">
        <v>41</v>
      </c>
      <c r="H8" t="s">
        <v>7</v>
      </c>
      <c r="K8" s="4">
        <v>144.6</v>
      </c>
      <c r="L8" s="5" t="s">
        <v>41</v>
      </c>
    </row>
    <row r="9" spans="3:12" ht="12.75">
      <c r="C9" s="4">
        <v>711</v>
      </c>
      <c r="D9" s="5" t="s">
        <v>41</v>
      </c>
      <c r="H9" t="s">
        <v>8</v>
      </c>
      <c r="K9" s="4">
        <v>711</v>
      </c>
      <c r="L9" s="5" t="s">
        <v>41</v>
      </c>
    </row>
    <row r="12" spans="1:11" ht="12.75">
      <c r="A12" s="6" t="s">
        <v>9</v>
      </c>
      <c r="B12" s="6" t="s">
        <v>10</v>
      </c>
      <c r="C12" s="6" t="s">
        <v>11</v>
      </c>
      <c r="I12" s="6" t="s">
        <v>9</v>
      </c>
      <c r="J12" s="6" t="s">
        <v>10</v>
      </c>
      <c r="K12" s="6" t="s">
        <v>11</v>
      </c>
    </row>
    <row r="13" spans="1:11" ht="12.75">
      <c r="A13" s="8" t="e">
        <f>SUM(A14:A25)+#REF!</f>
        <v>#REF!</v>
      </c>
      <c r="B13" s="8" t="e">
        <f>SUM(B14:B25)+#REF!</f>
        <v>#REF!</v>
      </c>
      <c r="C13" s="8" t="e">
        <f>SUM(C14:C25)+#REF!</f>
        <v>#REF!</v>
      </c>
      <c r="H13" s="7" t="s">
        <v>12</v>
      </c>
      <c r="I13" s="8">
        <f>SUM(I14:I25)</f>
        <v>342729.7300000001</v>
      </c>
      <c r="J13" s="8">
        <f>SUM(J14:J25)</f>
        <v>333913.37</v>
      </c>
      <c r="K13" s="8">
        <f>SUM(K14:K25)</f>
        <v>8816.359999999997</v>
      </c>
    </row>
    <row r="14" spans="1:11" ht="12.75" hidden="1">
      <c r="A14" s="8">
        <v>25246.02</v>
      </c>
      <c r="B14" s="8">
        <v>26188.87</v>
      </c>
      <c r="C14" s="8">
        <f aca="true" t="shared" si="0" ref="C14:C25">A14-B14</f>
        <v>-942.8499999999985</v>
      </c>
      <c r="H14" s="9" t="s">
        <v>25</v>
      </c>
      <c r="I14" s="8">
        <v>27420.39</v>
      </c>
      <c r="J14" s="8">
        <v>23904.44</v>
      </c>
      <c r="K14" s="8">
        <f aca="true" t="shared" si="1" ref="K14:K25">I14-J14</f>
        <v>3515.9500000000007</v>
      </c>
    </row>
    <row r="15" spans="1:11" ht="12.75" hidden="1">
      <c r="A15" s="8">
        <v>25246.02</v>
      </c>
      <c r="B15" s="13">
        <v>23869.03</v>
      </c>
      <c r="C15" s="8">
        <f t="shared" si="0"/>
        <v>1376.9900000000016</v>
      </c>
      <c r="H15" s="9" t="s">
        <v>13</v>
      </c>
      <c r="I15" s="8">
        <v>27420.39</v>
      </c>
      <c r="J15" s="13">
        <v>22596.74</v>
      </c>
      <c r="K15" s="8">
        <f t="shared" si="1"/>
        <v>4823.649999999998</v>
      </c>
    </row>
    <row r="16" spans="1:11" ht="12.75" hidden="1">
      <c r="A16" s="8">
        <v>25246.02</v>
      </c>
      <c r="B16" s="13">
        <v>17885.21</v>
      </c>
      <c r="C16" s="8">
        <f t="shared" si="0"/>
        <v>7360.810000000001</v>
      </c>
      <c r="H16" s="9" t="s">
        <v>14</v>
      </c>
      <c r="I16" s="8">
        <v>27420.39</v>
      </c>
      <c r="J16" s="13">
        <v>49178.72</v>
      </c>
      <c r="K16" s="8">
        <f t="shared" si="1"/>
        <v>-21758.33</v>
      </c>
    </row>
    <row r="17" spans="1:11" ht="12.75" hidden="1">
      <c r="A17" s="8">
        <v>25246.02</v>
      </c>
      <c r="B17" s="13">
        <v>18287.83</v>
      </c>
      <c r="C17" s="8">
        <f t="shared" si="0"/>
        <v>6958.189999999999</v>
      </c>
      <c r="H17" s="9" t="s">
        <v>15</v>
      </c>
      <c r="I17" s="8">
        <v>27420.39</v>
      </c>
      <c r="J17" s="13">
        <v>29912.54</v>
      </c>
      <c r="K17" s="8">
        <f t="shared" si="1"/>
        <v>-2492.1500000000015</v>
      </c>
    </row>
    <row r="18" spans="1:11" ht="12.75" hidden="1">
      <c r="A18" s="8">
        <v>25246.02</v>
      </c>
      <c r="B18" s="13">
        <v>21965.4</v>
      </c>
      <c r="C18" s="8">
        <f t="shared" si="0"/>
        <v>3280.619999999999</v>
      </c>
      <c r="H18" s="9" t="s">
        <v>16</v>
      </c>
      <c r="I18" s="8">
        <v>27420.39</v>
      </c>
      <c r="J18" s="13">
        <v>22503.66</v>
      </c>
      <c r="K18" s="8">
        <f t="shared" si="1"/>
        <v>4916.73</v>
      </c>
    </row>
    <row r="19" spans="1:11" ht="12.75" hidden="1">
      <c r="A19" s="8">
        <v>25246.02</v>
      </c>
      <c r="B19" s="13">
        <v>21971.86</v>
      </c>
      <c r="C19" s="8">
        <f t="shared" si="0"/>
        <v>3274.16</v>
      </c>
      <c r="H19" s="9" t="s">
        <v>17</v>
      </c>
      <c r="I19" s="8">
        <v>27420.39</v>
      </c>
      <c r="J19" s="13">
        <v>25967.58</v>
      </c>
      <c r="K19" s="8">
        <f t="shared" si="1"/>
        <v>1452.8099999999977</v>
      </c>
    </row>
    <row r="20" spans="1:11" ht="12.75" hidden="1">
      <c r="A20" s="13">
        <v>27420.39</v>
      </c>
      <c r="B20" s="13">
        <v>19065.41</v>
      </c>
      <c r="C20" s="8">
        <f t="shared" si="0"/>
        <v>8354.98</v>
      </c>
      <c r="H20" s="9" t="s">
        <v>18</v>
      </c>
      <c r="I20" s="8">
        <v>27420.39</v>
      </c>
      <c r="J20" s="13">
        <v>26738.65</v>
      </c>
      <c r="K20" s="8">
        <f t="shared" si="1"/>
        <v>681.739999999998</v>
      </c>
    </row>
    <row r="21" spans="1:11" ht="12.75" hidden="1">
      <c r="A21" s="13">
        <v>27420.39</v>
      </c>
      <c r="B21" s="13">
        <v>20095.19</v>
      </c>
      <c r="C21" s="8">
        <f t="shared" si="0"/>
        <v>7325.200000000001</v>
      </c>
      <c r="H21" s="9" t="s">
        <v>19</v>
      </c>
      <c r="I21" s="13">
        <v>30157.4</v>
      </c>
      <c r="J21" s="13">
        <v>26736.22</v>
      </c>
      <c r="K21" s="8">
        <f t="shared" si="1"/>
        <v>3421.1800000000003</v>
      </c>
    </row>
    <row r="22" spans="1:11" ht="12.75" hidden="1">
      <c r="A22" s="13">
        <v>27420.39</v>
      </c>
      <c r="B22" s="13">
        <v>25272.8</v>
      </c>
      <c r="C22" s="8">
        <f t="shared" si="0"/>
        <v>2147.59</v>
      </c>
      <c r="H22" s="9" t="s">
        <v>20</v>
      </c>
      <c r="I22" s="13">
        <v>30157.4</v>
      </c>
      <c r="J22" s="13">
        <v>26739.96</v>
      </c>
      <c r="K22" s="8">
        <f t="shared" si="1"/>
        <v>3417.4400000000023</v>
      </c>
    </row>
    <row r="23" spans="1:11" ht="12.75" hidden="1">
      <c r="A23" s="13">
        <v>27420.39</v>
      </c>
      <c r="B23" s="13">
        <v>25617.14</v>
      </c>
      <c r="C23" s="13">
        <f t="shared" si="0"/>
        <v>1803.25</v>
      </c>
      <c r="H23" s="9" t="s">
        <v>21</v>
      </c>
      <c r="I23" s="13">
        <v>30157.4</v>
      </c>
      <c r="J23" s="13">
        <v>26068.85</v>
      </c>
      <c r="K23" s="13">
        <f t="shared" si="1"/>
        <v>4088.550000000003</v>
      </c>
    </row>
    <row r="24" spans="1:11" ht="12.75" hidden="1">
      <c r="A24" s="13">
        <v>27420.39</v>
      </c>
      <c r="B24" s="13">
        <v>22395.48</v>
      </c>
      <c r="C24" s="13">
        <f t="shared" si="0"/>
        <v>5024.91</v>
      </c>
      <c r="H24" s="9" t="s">
        <v>22</v>
      </c>
      <c r="I24" s="13">
        <v>30157.4</v>
      </c>
      <c r="J24" s="13">
        <v>28389.45</v>
      </c>
      <c r="K24" s="13">
        <f t="shared" si="1"/>
        <v>1767.9500000000007</v>
      </c>
    </row>
    <row r="25" spans="1:11" ht="12.75" hidden="1">
      <c r="A25" s="13">
        <v>27420.39</v>
      </c>
      <c r="B25" s="13">
        <v>30380.17</v>
      </c>
      <c r="C25" s="13">
        <f t="shared" si="0"/>
        <v>-2959.779999999999</v>
      </c>
      <c r="H25" s="9" t="s">
        <v>23</v>
      </c>
      <c r="I25" s="13">
        <v>30157.4</v>
      </c>
      <c r="J25" s="13">
        <v>25176.56</v>
      </c>
      <c r="K25" s="13">
        <f t="shared" si="1"/>
        <v>4980.84</v>
      </c>
    </row>
    <row r="26" spans="1:11" ht="12.75">
      <c r="A26" s="8" t="e">
        <f>SUM(A27:A38)+#REF!</f>
        <v>#REF!</v>
      </c>
      <c r="B26" s="8" t="e">
        <f>SUM(B27:B38)+#REF!</f>
        <v>#REF!</v>
      </c>
      <c r="C26" s="8" t="e">
        <f>SUM(C27:C38)+#REF!</f>
        <v>#REF!</v>
      </c>
      <c r="H26" s="7" t="s">
        <v>24</v>
      </c>
      <c r="I26" s="8">
        <f>SUM(I27:I38)</f>
        <v>183.35999999999999</v>
      </c>
      <c r="J26" s="8">
        <f>SUM(J27:J38)</f>
        <v>140.39</v>
      </c>
      <c r="K26" s="8">
        <f>SUM(K27:K38)</f>
        <v>42.969999999999985</v>
      </c>
    </row>
    <row r="27" spans="1:11" ht="12.75" hidden="1">
      <c r="A27" s="8">
        <v>15.28</v>
      </c>
      <c r="B27" s="8">
        <v>13.57</v>
      </c>
      <c r="C27" s="8">
        <f aca="true" t="shared" si="2" ref="C27:C34">A27-B27</f>
        <v>1.709999999999999</v>
      </c>
      <c r="H27" s="9" t="s">
        <v>25</v>
      </c>
      <c r="I27" s="8">
        <v>15.28</v>
      </c>
      <c r="J27" s="8">
        <v>10.95</v>
      </c>
      <c r="K27" s="8">
        <f aca="true" t="shared" si="3" ref="K27:K34">I27-J27</f>
        <v>4.33</v>
      </c>
    </row>
    <row r="28" spans="1:11" ht="12.75" hidden="1">
      <c r="A28" s="8">
        <v>15.28</v>
      </c>
      <c r="B28" s="13">
        <v>13.25</v>
      </c>
      <c r="C28" s="8">
        <f t="shared" si="2"/>
        <v>2.0299999999999994</v>
      </c>
      <c r="H28" s="9" t="s">
        <v>13</v>
      </c>
      <c r="I28" s="8">
        <v>15.28</v>
      </c>
      <c r="J28" s="13">
        <v>7.22</v>
      </c>
      <c r="K28" s="8">
        <f t="shared" si="3"/>
        <v>8.059999999999999</v>
      </c>
    </row>
    <row r="29" spans="1:11" ht="12.75" hidden="1">
      <c r="A29" s="8">
        <v>15.28</v>
      </c>
      <c r="B29" s="13">
        <v>3.7</v>
      </c>
      <c r="C29" s="8">
        <f t="shared" si="2"/>
        <v>11.579999999999998</v>
      </c>
      <c r="H29" s="9" t="s">
        <v>14</v>
      </c>
      <c r="I29" s="8">
        <v>15.28</v>
      </c>
      <c r="J29" s="13">
        <v>7.22</v>
      </c>
      <c r="K29" s="8">
        <f t="shared" si="3"/>
        <v>8.059999999999999</v>
      </c>
    </row>
    <row r="30" spans="1:11" ht="12.75" hidden="1">
      <c r="A30" s="8">
        <v>15.28</v>
      </c>
      <c r="B30" s="13">
        <v>10.74</v>
      </c>
      <c r="C30" s="8">
        <f t="shared" si="2"/>
        <v>4.539999999999999</v>
      </c>
      <c r="H30" s="9" t="s">
        <v>15</v>
      </c>
      <c r="I30" s="8">
        <v>15.28</v>
      </c>
      <c r="J30" s="13">
        <v>27.46</v>
      </c>
      <c r="K30" s="8">
        <f t="shared" si="3"/>
        <v>-12.180000000000001</v>
      </c>
    </row>
    <row r="31" spans="1:11" ht="12.75" hidden="1">
      <c r="A31" s="8">
        <v>15.28</v>
      </c>
      <c r="B31" s="13">
        <v>20.09</v>
      </c>
      <c r="C31" s="8">
        <f t="shared" si="2"/>
        <v>-4.8100000000000005</v>
      </c>
      <c r="H31" s="9" t="s">
        <v>16</v>
      </c>
      <c r="I31" s="8">
        <v>15.28</v>
      </c>
      <c r="J31" s="13">
        <v>9.17</v>
      </c>
      <c r="K31" s="8">
        <f t="shared" si="3"/>
        <v>6.109999999999999</v>
      </c>
    </row>
    <row r="32" spans="1:11" ht="12.75" hidden="1">
      <c r="A32" s="8">
        <v>15.28</v>
      </c>
      <c r="B32" s="13">
        <v>5.34</v>
      </c>
      <c r="C32" s="8">
        <f t="shared" si="2"/>
        <v>9.94</v>
      </c>
      <c r="H32" s="9" t="s">
        <v>17</v>
      </c>
      <c r="I32" s="8">
        <v>15.28</v>
      </c>
      <c r="J32" s="13">
        <v>17.03</v>
      </c>
      <c r="K32" s="8">
        <f t="shared" si="3"/>
        <v>-1.7500000000000018</v>
      </c>
    </row>
    <row r="33" spans="1:11" ht="12.75" hidden="1">
      <c r="A33" s="8">
        <v>15.28</v>
      </c>
      <c r="B33" s="13">
        <v>9.1</v>
      </c>
      <c r="C33" s="8">
        <f t="shared" si="2"/>
        <v>6.18</v>
      </c>
      <c r="H33" s="9" t="s">
        <v>18</v>
      </c>
      <c r="I33" s="8">
        <v>15.28</v>
      </c>
      <c r="J33" s="13">
        <v>16.55</v>
      </c>
      <c r="K33" s="8">
        <f t="shared" si="3"/>
        <v>-1.2700000000000014</v>
      </c>
    </row>
    <row r="34" spans="1:11" ht="12.75" hidden="1">
      <c r="A34" s="8">
        <v>15.28</v>
      </c>
      <c r="B34" s="13">
        <v>3.7</v>
      </c>
      <c r="C34" s="8">
        <f t="shared" si="2"/>
        <v>11.579999999999998</v>
      </c>
      <c r="H34" s="9" t="s">
        <v>19</v>
      </c>
      <c r="I34" s="8">
        <v>15.28</v>
      </c>
      <c r="J34" s="13">
        <v>7.22</v>
      </c>
      <c r="K34" s="8">
        <f t="shared" si="3"/>
        <v>8.059999999999999</v>
      </c>
    </row>
    <row r="35" spans="1:11" ht="12.75" hidden="1">
      <c r="A35" s="8">
        <v>15.28</v>
      </c>
      <c r="B35" s="13">
        <v>8.57</v>
      </c>
      <c r="C35" s="8">
        <f>A35-B35</f>
        <v>6.709999999999999</v>
      </c>
      <c r="H35" s="9" t="s">
        <v>20</v>
      </c>
      <c r="I35" s="8">
        <v>15.28</v>
      </c>
      <c r="J35" s="13">
        <v>7.22</v>
      </c>
      <c r="K35" s="8">
        <f>I35-J35</f>
        <v>8.059999999999999</v>
      </c>
    </row>
    <row r="36" spans="1:11" ht="12.75" hidden="1">
      <c r="A36" s="8">
        <v>15.28</v>
      </c>
      <c r="B36" s="13">
        <v>8.7</v>
      </c>
      <c r="C36" s="13">
        <f>A36-B36</f>
        <v>6.58</v>
      </c>
      <c r="H36" s="9" t="s">
        <v>21</v>
      </c>
      <c r="I36" s="8">
        <v>15.28</v>
      </c>
      <c r="J36" s="13">
        <v>15.91</v>
      </c>
      <c r="K36" s="13">
        <f>I36-J36</f>
        <v>-0.6300000000000008</v>
      </c>
    </row>
    <row r="37" spans="1:11" ht="12.75" hidden="1">
      <c r="A37" s="8">
        <v>15.28</v>
      </c>
      <c r="B37" s="13">
        <v>9.94</v>
      </c>
      <c r="C37" s="13">
        <f>A37-B37</f>
        <v>5.34</v>
      </c>
      <c r="H37" s="9" t="s">
        <v>22</v>
      </c>
      <c r="I37" s="8">
        <v>15.28</v>
      </c>
      <c r="J37" s="13">
        <v>7.22</v>
      </c>
      <c r="K37" s="13">
        <f>I37-J37</f>
        <v>8.059999999999999</v>
      </c>
    </row>
    <row r="38" spans="1:11" ht="12.75" hidden="1">
      <c r="A38" s="8">
        <v>15.28</v>
      </c>
      <c r="B38" s="13">
        <v>18.72</v>
      </c>
      <c r="C38" s="13">
        <f>A38-B38</f>
        <v>-3.4399999999999995</v>
      </c>
      <c r="H38" s="9" t="s">
        <v>23</v>
      </c>
      <c r="I38" s="8">
        <v>15.28</v>
      </c>
      <c r="J38" s="13">
        <v>7.22</v>
      </c>
      <c r="K38" s="13">
        <f>I38-J38</f>
        <v>8.059999999999999</v>
      </c>
    </row>
    <row r="39" spans="1:11" ht="12.75" hidden="1">
      <c r="A39" s="8">
        <f>SUM(A40:A51)</f>
        <v>0</v>
      </c>
      <c r="B39" s="8">
        <f>SUM(B40:B51)</f>
        <v>683.3499999999999</v>
      </c>
      <c r="C39" s="8">
        <f>SUM(C40:C51)</f>
        <v>-683.3499999999999</v>
      </c>
      <c r="H39" s="7" t="s">
        <v>42</v>
      </c>
      <c r="I39" s="8">
        <f>SUM(I40:I51)</f>
        <v>0</v>
      </c>
      <c r="J39" s="8">
        <f>SUM(J40:J51)</f>
        <v>0</v>
      </c>
      <c r="K39" s="8">
        <f>SUM(K40:K51)</f>
        <v>0</v>
      </c>
    </row>
    <row r="40" spans="1:11" ht="12.75" hidden="1">
      <c r="A40" s="8"/>
      <c r="B40" s="8">
        <v>14.45</v>
      </c>
      <c r="C40" s="8">
        <f aca="true" t="shared" si="4" ref="C40:C46">A40-B40</f>
        <v>-14.45</v>
      </c>
      <c r="H40" s="9" t="s">
        <v>25</v>
      </c>
      <c r="I40" s="8"/>
      <c r="J40" s="8"/>
      <c r="K40" s="8">
        <f aca="true" t="shared" si="5" ref="K40:K46">I40-J40</f>
        <v>0</v>
      </c>
    </row>
    <row r="41" spans="1:11" ht="12.75" hidden="1">
      <c r="A41" s="13"/>
      <c r="B41" s="13">
        <v>332.84</v>
      </c>
      <c r="C41" s="8">
        <f t="shared" si="4"/>
        <v>-332.84</v>
      </c>
      <c r="H41" s="9" t="s">
        <v>13</v>
      </c>
      <c r="I41" s="13"/>
      <c r="J41" s="13"/>
      <c r="K41" s="8">
        <f t="shared" si="5"/>
        <v>0</v>
      </c>
    </row>
    <row r="42" spans="1:11" ht="12.75" hidden="1">
      <c r="A42" s="13"/>
      <c r="B42" s="13">
        <v>181.32</v>
      </c>
      <c r="C42" s="8">
        <f t="shared" si="4"/>
        <v>-181.32</v>
      </c>
      <c r="H42" s="9" t="s">
        <v>14</v>
      </c>
      <c r="I42" s="13"/>
      <c r="J42" s="13"/>
      <c r="K42" s="8">
        <f t="shared" si="5"/>
        <v>0</v>
      </c>
    </row>
    <row r="43" spans="1:11" ht="12.75" hidden="1">
      <c r="A43" s="13"/>
      <c r="B43" s="13"/>
      <c r="C43" s="8">
        <f t="shared" si="4"/>
        <v>0</v>
      </c>
      <c r="H43" s="9" t="s">
        <v>15</v>
      </c>
      <c r="I43" s="13"/>
      <c r="J43" s="13"/>
      <c r="K43" s="8">
        <f t="shared" si="5"/>
        <v>0</v>
      </c>
    </row>
    <row r="44" spans="1:11" ht="12.75" hidden="1">
      <c r="A44" s="13"/>
      <c r="B44" s="13"/>
      <c r="C44" s="8">
        <f t="shared" si="4"/>
        <v>0</v>
      </c>
      <c r="H44" s="9" t="s">
        <v>16</v>
      </c>
      <c r="I44" s="13"/>
      <c r="J44" s="13"/>
      <c r="K44" s="8">
        <f t="shared" si="5"/>
        <v>0</v>
      </c>
    </row>
    <row r="45" spans="1:11" ht="12.75" hidden="1">
      <c r="A45" s="13"/>
      <c r="B45" s="13"/>
      <c r="C45" s="8">
        <f t="shared" si="4"/>
        <v>0</v>
      </c>
      <c r="H45" s="9" t="s">
        <v>17</v>
      </c>
      <c r="I45" s="13"/>
      <c r="J45" s="13"/>
      <c r="K45" s="8">
        <f t="shared" si="5"/>
        <v>0</v>
      </c>
    </row>
    <row r="46" spans="1:11" ht="12.75" hidden="1">
      <c r="A46" s="13"/>
      <c r="B46" s="13">
        <v>10.84</v>
      </c>
      <c r="C46" s="8">
        <f t="shared" si="4"/>
        <v>-10.84</v>
      </c>
      <c r="H46" s="9" t="s">
        <v>18</v>
      </c>
      <c r="I46" s="13"/>
      <c r="J46" s="13"/>
      <c r="K46" s="8">
        <f t="shared" si="5"/>
        <v>0</v>
      </c>
    </row>
    <row r="47" spans="1:11" ht="12.75" hidden="1">
      <c r="A47" s="8"/>
      <c r="B47" s="8">
        <v>143.9</v>
      </c>
      <c r="C47" s="8">
        <f>A47-B47</f>
        <v>-143.9</v>
      </c>
      <c r="H47" s="9" t="s">
        <v>19</v>
      </c>
      <c r="I47" s="8"/>
      <c r="J47" s="8"/>
      <c r="K47" s="8">
        <f>I47-J47</f>
        <v>0</v>
      </c>
    </row>
    <row r="48" spans="1:11" ht="12.75" hidden="1">
      <c r="A48" s="13"/>
      <c r="B48" s="13"/>
      <c r="C48" s="8">
        <f>A48-B48</f>
        <v>0</v>
      </c>
      <c r="H48" s="9" t="s">
        <v>20</v>
      </c>
      <c r="I48" s="13"/>
      <c r="J48" s="13"/>
      <c r="K48" s="8">
        <f>I48-J48</f>
        <v>0</v>
      </c>
    </row>
    <row r="49" spans="1:11" ht="12.75" hidden="1">
      <c r="A49" s="13"/>
      <c r="B49" s="13"/>
      <c r="C49" s="13">
        <f>A49-B49</f>
        <v>0</v>
      </c>
      <c r="H49" s="9" t="s">
        <v>21</v>
      </c>
      <c r="I49" s="13"/>
      <c r="J49" s="13"/>
      <c r="K49" s="13">
        <f>I49-J49</f>
        <v>0</v>
      </c>
    </row>
    <row r="50" spans="1:11" ht="12.75" hidden="1">
      <c r="A50" s="13"/>
      <c r="B50" s="13"/>
      <c r="C50" s="13">
        <f>A50-B50</f>
        <v>0</v>
      </c>
      <c r="H50" s="9" t="s">
        <v>22</v>
      </c>
      <c r="I50" s="13"/>
      <c r="J50" s="13"/>
      <c r="K50" s="13">
        <f>I50-J50</f>
        <v>0</v>
      </c>
    </row>
    <row r="51" spans="1:11" ht="12.75" hidden="1">
      <c r="A51" s="13"/>
      <c r="B51" s="13"/>
      <c r="C51" s="13">
        <f>A51-B51</f>
        <v>0</v>
      </c>
      <c r="H51" s="9" t="s">
        <v>23</v>
      </c>
      <c r="I51" s="13"/>
      <c r="J51" s="13"/>
      <c r="K51" s="13">
        <f>I51-J51</f>
        <v>0</v>
      </c>
    </row>
    <row r="52" spans="1:11" ht="12.75" hidden="1">
      <c r="A52" s="8">
        <f>SUM(A53:A64)</f>
        <v>16927.1</v>
      </c>
      <c r="B52" s="8">
        <f>SUM(B53:B64)</f>
        <v>12153.76</v>
      </c>
      <c r="C52" s="8">
        <f>SUM(C53:C64)</f>
        <v>4773.339999999998</v>
      </c>
      <c r="H52" s="7" t="s">
        <v>148</v>
      </c>
      <c r="I52" s="8">
        <f>SUM(I53:I64)</f>
        <v>0</v>
      </c>
      <c r="J52" s="8">
        <f>SUM(J53:J64)</f>
        <v>0</v>
      </c>
      <c r="K52" s="8">
        <f>SUM(K53:K64)</f>
        <v>0</v>
      </c>
    </row>
    <row r="53" spans="1:11" ht="12.75" hidden="1">
      <c r="A53" s="8"/>
      <c r="B53" s="8"/>
      <c r="C53" s="8">
        <f aca="true" t="shared" si="6" ref="C53:C59">A53-B53</f>
        <v>0</v>
      </c>
      <c r="H53" s="9" t="s">
        <v>25</v>
      </c>
      <c r="I53" s="8"/>
      <c r="J53" s="8"/>
      <c r="K53" s="8">
        <f aca="true" t="shared" si="7" ref="K53:K59">I53-J53</f>
        <v>0</v>
      </c>
    </row>
    <row r="54" spans="1:11" ht="12.75" hidden="1">
      <c r="A54" s="13"/>
      <c r="B54" s="13"/>
      <c r="C54" s="8">
        <f t="shared" si="6"/>
        <v>0</v>
      </c>
      <c r="H54" s="9" t="s">
        <v>13</v>
      </c>
      <c r="I54" s="13"/>
      <c r="J54" s="13"/>
      <c r="K54" s="8">
        <f t="shared" si="7"/>
        <v>0</v>
      </c>
    </row>
    <row r="55" spans="1:11" ht="12.75" hidden="1">
      <c r="A55" s="13"/>
      <c r="B55" s="13"/>
      <c r="C55" s="8">
        <f t="shared" si="6"/>
        <v>0</v>
      </c>
      <c r="H55" s="9" t="s">
        <v>14</v>
      </c>
      <c r="I55" s="13"/>
      <c r="J55" s="13"/>
      <c r="K55" s="8">
        <f t="shared" si="7"/>
        <v>0</v>
      </c>
    </row>
    <row r="56" spans="1:11" ht="12.75" hidden="1">
      <c r="A56" s="13"/>
      <c r="B56" s="13"/>
      <c r="C56" s="8">
        <f t="shared" si="6"/>
        <v>0</v>
      </c>
      <c r="H56" s="9" t="s">
        <v>15</v>
      </c>
      <c r="I56" s="13"/>
      <c r="J56" s="13"/>
      <c r="K56" s="8">
        <f t="shared" si="7"/>
        <v>0</v>
      </c>
    </row>
    <row r="57" spans="1:11" ht="12.75" hidden="1">
      <c r="A57" s="13"/>
      <c r="B57" s="13"/>
      <c r="C57" s="8">
        <f t="shared" si="6"/>
        <v>0</v>
      </c>
      <c r="H57" s="9" t="s">
        <v>16</v>
      </c>
      <c r="I57" s="13"/>
      <c r="J57" s="13"/>
      <c r="K57" s="8">
        <f t="shared" si="7"/>
        <v>0</v>
      </c>
    </row>
    <row r="58" spans="1:11" ht="12.75" hidden="1">
      <c r="A58" s="13"/>
      <c r="B58" s="13"/>
      <c r="C58" s="8">
        <f t="shared" si="6"/>
        <v>0</v>
      </c>
      <c r="H58" s="9" t="s">
        <v>17</v>
      </c>
      <c r="I58" s="13"/>
      <c r="J58" s="13"/>
      <c r="K58" s="8">
        <f t="shared" si="7"/>
        <v>0</v>
      </c>
    </row>
    <row r="59" spans="1:11" ht="12.75" hidden="1">
      <c r="A59" s="13"/>
      <c r="B59" s="13"/>
      <c r="C59" s="8">
        <f t="shared" si="6"/>
        <v>0</v>
      </c>
      <c r="H59" s="9" t="s">
        <v>18</v>
      </c>
      <c r="I59" s="13"/>
      <c r="J59" s="13"/>
      <c r="K59" s="8">
        <f t="shared" si="7"/>
        <v>0</v>
      </c>
    </row>
    <row r="60" spans="1:11" ht="12.75" hidden="1">
      <c r="A60" s="8"/>
      <c r="B60" s="8"/>
      <c r="C60" s="8">
        <f>A60-B60</f>
        <v>0</v>
      </c>
      <c r="H60" s="9" t="s">
        <v>19</v>
      </c>
      <c r="I60" s="8"/>
      <c r="J60" s="8"/>
      <c r="K60" s="8">
        <f>I60-J60</f>
        <v>0</v>
      </c>
    </row>
    <row r="61" spans="1:11" ht="12.75" hidden="1">
      <c r="A61" s="13"/>
      <c r="B61" s="13"/>
      <c r="C61" s="8">
        <f>A61-B61</f>
        <v>0</v>
      </c>
      <c r="H61" s="9" t="s">
        <v>20</v>
      </c>
      <c r="I61" s="13"/>
      <c r="J61" s="13"/>
      <c r="K61" s="8">
        <f>I61-J61</f>
        <v>0</v>
      </c>
    </row>
    <row r="62" spans="1:11" ht="12.75" hidden="1">
      <c r="A62" s="13">
        <v>16927.1</v>
      </c>
      <c r="B62" s="13">
        <v>10465.86</v>
      </c>
      <c r="C62" s="13">
        <f>A62-B62</f>
        <v>6461.239999999998</v>
      </c>
      <c r="H62" s="9" t="s">
        <v>21</v>
      </c>
      <c r="I62" s="13"/>
      <c r="J62" s="13"/>
      <c r="K62" s="13">
        <f>I62-J62</f>
        <v>0</v>
      </c>
    </row>
    <row r="63" spans="1:11" ht="12.75" hidden="1">
      <c r="A63" s="13"/>
      <c r="B63" s="13">
        <v>1687.9</v>
      </c>
      <c r="C63" s="13">
        <f>A63-B63</f>
        <v>-1687.9</v>
      </c>
      <c r="H63" s="9" t="s">
        <v>22</v>
      </c>
      <c r="I63" s="13"/>
      <c r="J63" s="13"/>
      <c r="K63" s="13">
        <f>I63-J63</f>
        <v>0</v>
      </c>
    </row>
    <row r="64" spans="1:11" ht="12.75" hidden="1">
      <c r="A64" s="13"/>
      <c r="B64" s="13"/>
      <c r="C64" s="13">
        <f>A64-B64</f>
        <v>0</v>
      </c>
      <c r="H64" s="9" t="s">
        <v>23</v>
      </c>
      <c r="I64" s="13"/>
      <c r="J64" s="13"/>
      <c r="K64" s="13">
        <f>I64-J64</f>
        <v>0</v>
      </c>
    </row>
    <row r="65" spans="1:11" ht="12.75">
      <c r="A65" s="8" t="e">
        <f>A13+A26</f>
        <v>#REF!</v>
      </c>
      <c r="B65" s="8" t="e">
        <f>B13+B26</f>
        <v>#REF!</v>
      </c>
      <c r="C65" s="8" t="e">
        <f>C13+C26</f>
        <v>#REF!</v>
      </c>
      <c r="H65" s="9" t="s">
        <v>26</v>
      </c>
      <c r="I65" s="8">
        <f>I13+I26</f>
        <v>342913.0900000001</v>
      </c>
      <c r="J65" s="8">
        <f>J13+J26</f>
        <v>334053.76</v>
      </c>
      <c r="K65" s="8">
        <f>K13+K26</f>
        <v>8859.329999999996</v>
      </c>
    </row>
    <row r="67" spans="3:11" ht="12.75">
      <c r="C67" s="12" t="e">
        <f>C65</f>
        <v>#REF!</v>
      </c>
      <c r="H67" t="s">
        <v>27</v>
      </c>
      <c r="K67" s="12">
        <f>K65</f>
        <v>8859.329999999996</v>
      </c>
    </row>
    <row r="69" spans="3:11" ht="12.75">
      <c r="C69" s="12" t="e">
        <f>C70+C71+#REF!</f>
        <v>#REF!</v>
      </c>
      <c r="H69" s="11" t="s">
        <v>28</v>
      </c>
      <c r="K69" s="12">
        <f>K70+K71</f>
        <v>31363.841</v>
      </c>
    </row>
    <row r="70" spans="3:11" ht="12.75" hidden="1">
      <c r="C70" s="12">
        <f>(2.75*6*C5)+(2.5*6*C5)</f>
        <v>49571.55</v>
      </c>
      <c r="H70" s="11" t="s">
        <v>29</v>
      </c>
      <c r="K70" s="12">
        <f>(2.75*2*K5)+(1.1*5*K5)+(1.21*5*K5)</f>
        <v>26831.585</v>
      </c>
    </row>
    <row r="71" spans="3:11" ht="12.75" hidden="1">
      <c r="C71" s="12">
        <f>(0.24*12*C5)</f>
        <v>4532.256</v>
      </c>
      <c r="H71" s="11" t="s">
        <v>30</v>
      </c>
      <c r="K71" s="12">
        <f>(0.24*12*K5)</f>
        <v>4532.256</v>
      </c>
    </row>
    <row r="72" spans="3:11" ht="12.75">
      <c r="C72" s="12" t="e">
        <f>(0.66*6*C5)+(0.6*6*C5)+#REF!</f>
        <v>#REF!</v>
      </c>
      <c r="H72" s="11" t="s">
        <v>31</v>
      </c>
      <c r="K72" s="12">
        <f>(0.66*2*K5)</f>
        <v>2077.284</v>
      </c>
    </row>
    <row r="73" spans="3:11" ht="12.75">
      <c r="C73" s="12">
        <v>0</v>
      </c>
      <c r="H73" s="11" t="s">
        <v>81</v>
      </c>
      <c r="K73" s="12">
        <f>(0.5*2*K5)+(0.55*5*K5)+(0.6*5*K5)</f>
        <v>10622.475</v>
      </c>
    </row>
    <row r="74" spans="3:11" ht="12.75">
      <c r="C74" s="12" t="e">
        <f>(2.2*6*C5)+(2*6*C5)+#REF!</f>
        <v>#REF!</v>
      </c>
      <c r="H74" s="11" t="s">
        <v>90</v>
      </c>
      <c r="K74" s="12">
        <f>(2.2*7*K5)+(2.42*5*K5)</f>
        <v>43276.75</v>
      </c>
    </row>
    <row r="75" spans="3:11" ht="12.75" hidden="1">
      <c r="C75" s="12" t="e">
        <f>#REF!</f>
        <v>#REF!</v>
      </c>
      <c r="H75" s="11" t="s">
        <v>33</v>
      </c>
      <c r="K75" s="12">
        <v>0</v>
      </c>
    </row>
    <row r="76" spans="3:11" ht="12.75">
      <c r="C76" s="12" t="e">
        <f>(0.72*6*C5)+(0.7*6*C5)+#REF!</f>
        <v>#REF!</v>
      </c>
      <c r="H76" s="11" t="s">
        <v>80</v>
      </c>
      <c r="K76" s="12">
        <f>(0.72*2*K5)</f>
        <v>2266.128</v>
      </c>
    </row>
    <row r="77" spans="3:11" ht="12.75">
      <c r="C77" s="12" t="e">
        <f>(3.3*6*C5)+(3*6*C5)+#REF!</f>
        <v>#REF!</v>
      </c>
      <c r="H77" s="11" t="s">
        <v>34</v>
      </c>
      <c r="K77" s="12">
        <f>(3.3*2*K5)+(1.2*5*K5)+(1.32*5*K5)</f>
        <v>30215.040000000005</v>
      </c>
    </row>
    <row r="78" spans="3:11" ht="12.75">
      <c r="C78" s="12" t="e">
        <f>(2.2*6*C5)+(2*6*C5)+#REF!</f>
        <v>#REF!</v>
      </c>
      <c r="H78" s="11" t="s">
        <v>35</v>
      </c>
      <c r="K78" s="12">
        <f>(2.2*2*K5)+(4.1*5*K5)+(4.51*5*K5)</f>
        <v>74672.065</v>
      </c>
    </row>
    <row r="79" spans="3:11" ht="12.75">
      <c r="C79" s="12" t="e">
        <f>(0.24*6*C5)+(0.22*6*C5)+#REF!</f>
        <v>#REF!</v>
      </c>
      <c r="H79" s="11" t="s">
        <v>36</v>
      </c>
      <c r="K79" s="12">
        <f>(0.24*7*K5)+(0.26*5*K5)</f>
        <v>4689.626</v>
      </c>
    </row>
    <row r="80" spans="3:11" ht="12.75">
      <c r="C80" s="12" t="e">
        <f>(0.77*6*C5)+(0.7*6*C5)+#REF!</f>
        <v>#REF!</v>
      </c>
      <c r="H80" s="11" t="s">
        <v>82</v>
      </c>
      <c r="K80" s="12">
        <f>(0.77*2*K5)+(3.2*5*K5)+(3.52*5*K5)</f>
        <v>55299.818</v>
      </c>
    </row>
    <row r="81" spans="3:11" ht="12.75">
      <c r="C81" s="12" t="e">
        <f>2.25*12*C6+#REF!</f>
        <v>#REF!</v>
      </c>
      <c r="H81" s="11" t="s">
        <v>37</v>
      </c>
      <c r="K81" s="12">
        <f>2.25*12*K6</f>
        <v>729</v>
      </c>
    </row>
    <row r="82" spans="3:14" ht="12.75">
      <c r="C82" s="12" t="e">
        <f>#REF!+F88</f>
        <v>#REF!</v>
      </c>
      <c r="F82" s="17">
        <v>8727</v>
      </c>
      <c r="G82" t="s">
        <v>137</v>
      </c>
      <c r="H82" s="11" t="s">
        <v>38</v>
      </c>
      <c r="K82" s="12">
        <v>5135</v>
      </c>
      <c r="N82" s="17"/>
    </row>
    <row r="83" spans="3:14" ht="12.75">
      <c r="C83" s="12" t="e">
        <f>(1.76*6*C5)+(1.6*6*C5)+#REF!</f>
        <v>#REF!</v>
      </c>
      <c r="F83" s="17">
        <v>1053</v>
      </c>
      <c r="G83" t="s">
        <v>141</v>
      </c>
      <c r="H83" s="11" t="s">
        <v>39</v>
      </c>
      <c r="K83" s="12">
        <f>(1.76*2*K5)+(0.47*5*K5)+(0.52*5*K5)</f>
        <v>13329.239</v>
      </c>
      <c r="N83" s="17"/>
    </row>
    <row r="84" spans="3:14" ht="12.75" hidden="1">
      <c r="C84" s="12">
        <v>0</v>
      </c>
      <c r="F84" s="17">
        <v>9266</v>
      </c>
      <c r="G84" t="s">
        <v>142</v>
      </c>
      <c r="H84" s="15" t="s">
        <v>65</v>
      </c>
      <c r="K84" s="12">
        <v>0</v>
      </c>
      <c r="N84" s="17"/>
    </row>
    <row r="85" spans="3:14" ht="12.75">
      <c r="C85" s="12"/>
      <c r="F85" s="18">
        <v>8556.12</v>
      </c>
      <c r="G85" t="s">
        <v>143</v>
      </c>
      <c r="H85" s="11"/>
      <c r="K85" s="12"/>
      <c r="N85" s="18"/>
    </row>
    <row r="86" spans="3:14" ht="12.75">
      <c r="C86" s="12" t="e">
        <f>C69+C72+C73+C74+C75+C76+C77+C78+C79+C80+C81+C82+C83+C84</f>
        <v>#REF!</v>
      </c>
      <c r="F86" s="18">
        <v>513</v>
      </c>
      <c r="G86" t="s">
        <v>160</v>
      </c>
      <c r="H86" s="11" t="s">
        <v>40</v>
      </c>
      <c r="K86" s="12">
        <f>K69+K72+K73+K74+K75+K76+K77+K78+K79+K80+K81+K82+K83+K84</f>
        <v>273676.266</v>
      </c>
      <c r="N86" s="18"/>
    </row>
    <row r="87" spans="3:11" ht="12.75">
      <c r="C87" s="12"/>
      <c r="F87">
        <v>403</v>
      </c>
      <c r="G87" t="s">
        <v>100</v>
      </c>
      <c r="H87" s="11"/>
      <c r="K87" s="12"/>
    </row>
    <row r="88" spans="3:11" ht="12.75">
      <c r="C88" s="12" t="e">
        <f>B65-C86</f>
        <v>#REF!</v>
      </c>
      <c r="F88">
        <f>SUM(F82:F87)</f>
        <v>28518.120000000003</v>
      </c>
      <c r="H88" t="s">
        <v>72</v>
      </c>
      <c r="K88" s="12">
        <f>J65-K86</f>
        <v>60377.494000000006</v>
      </c>
    </row>
    <row r="90" ht="12.75">
      <c r="A90" t="s">
        <v>140</v>
      </c>
    </row>
    <row r="91" ht="12.75">
      <c r="A91" t="s">
        <v>140</v>
      </c>
    </row>
    <row r="92" ht="12.75">
      <c r="A92" t="s">
        <v>103</v>
      </c>
    </row>
    <row r="93" ht="12.75">
      <c r="A93" t="s">
        <v>131</v>
      </c>
    </row>
    <row r="96" ht="12.75">
      <c r="A96" t="s">
        <v>108</v>
      </c>
    </row>
    <row r="97" ht="12.75">
      <c r="A97" t="s">
        <v>117</v>
      </c>
    </row>
    <row r="98" ht="12.75">
      <c r="A98" t="s">
        <v>122</v>
      </c>
    </row>
    <row r="99" ht="12.75">
      <c r="A99" t="s">
        <v>123</v>
      </c>
    </row>
    <row r="102" ht="12.75">
      <c r="A102" t="s">
        <v>137</v>
      </c>
    </row>
    <row r="104" ht="12.75">
      <c r="A104" s="9" t="e">
        <f>#REF!+#REF!+#REF!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61"/>
  <dimension ref="A1:P95"/>
  <sheetViews>
    <sheetView zoomScalePageLayoutView="0" workbookViewId="0" topLeftCell="J1">
      <selection activeCell="S59" sqref="S59"/>
    </sheetView>
  </sheetViews>
  <sheetFormatPr defaultColWidth="9.140625" defaultRowHeight="12.75"/>
  <cols>
    <col min="1" max="1" width="0" style="0" hidden="1" customWidth="1"/>
    <col min="2" max="2" width="19.28125" style="0" hidden="1" customWidth="1"/>
    <col min="3" max="3" width="14.28125" style="0" hidden="1" customWidth="1"/>
    <col min="4" max="4" width="15.7109375" style="0" hidden="1" customWidth="1"/>
    <col min="5" max="5" width="13.8515625" style="0" hidden="1" customWidth="1"/>
    <col min="6" max="6" width="5.8515625" style="0" hidden="1" customWidth="1"/>
    <col min="7" max="7" width="4.00390625" style="0" hidden="1" customWidth="1"/>
    <col min="8" max="9" width="0" style="0" hidden="1" customWidth="1"/>
    <col min="10" max="10" width="14.28125" style="0" customWidth="1"/>
    <col min="11" max="11" width="14.8515625" style="0" customWidth="1"/>
    <col min="12" max="12" width="14.140625" style="0" customWidth="1"/>
    <col min="13" max="13" width="13.57421875" style="0" customWidth="1"/>
    <col min="15" max="15" width="5.00390625" style="0" customWidth="1"/>
  </cols>
  <sheetData>
    <row r="1" ht="12.75">
      <c r="B1" t="s">
        <v>76</v>
      </c>
    </row>
    <row r="2" ht="12.75">
      <c r="B2" t="s">
        <v>138</v>
      </c>
    </row>
    <row r="3" spans="2:16" ht="12.75">
      <c r="B3" s="1" t="s">
        <v>0</v>
      </c>
      <c r="C3" s="2" t="s">
        <v>1</v>
      </c>
      <c r="D3" s="1" t="s">
        <v>56</v>
      </c>
      <c r="E3" s="1"/>
      <c r="F3" s="1" t="s">
        <v>2</v>
      </c>
      <c r="G3" s="3">
        <v>136</v>
      </c>
      <c r="H3">
        <v>2014</v>
      </c>
      <c r="J3" s="1" t="s">
        <v>0</v>
      </c>
      <c r="K3" s="2" t="s">
        <v>1</v>
      </c>
      <c r="L3" s="1" t="s">
        <v>56</v>
      </c>
      <c r="M3" s="1"/>
      <c r="N3" s="1" t="s">
        <v>2</v>
      </c>
      <c r="O3" s="3">
        <v>136</v>
      </c>
      <c r="P3">
        <v>2015</v>
      </c>
    </row>
    <row r="5" spans="2:14" ht="12.75">
      <c r="B5" t="s">
        <v>3</v>
      </c>
      <c r="E5" s="4">
        <v>2114</v>
      </c>
      <c r="F5" s="5" t="s">
        <v>41</v>
      </c>
      <c r="J5" t="s">
        <v>3</v>
      </c>
      <c r="M5" s="4">
        <v>2114</v>
      </c>
      <c r="N5" s="5" t="s">
        <v>41</v>
      </c>
    </row>
    <row r="6" spans="2:14" ht="12.75">
      <c r="B6" t="s">
        <v>4</v>
      </c>
      <c r="E6" s="4">
        <v>45</v>
      </c>
      <c r="F6" s="5"/>
      <c r="J6" t="s">
        <v>4</v>
      </c>
      <c r="M6" s="4">
        <v>45</v>
      </c>
      <c r="N6" s="5"/>
    </row>
    <row r="7" spans="2:14" ht="12.75">
      <c r="B7" t="s">
        <v>5</v>
      </c>
      <c r="E7" s="4">
        <v>95</v>
      </c>
      <c r="F7" s="5" t="s">
        <v>6</v>
      </c>
      <c r="J7" t="s">
        <v>5</v>
      </c>
      <c r="M7" s="4">
        <v>95</v>
      </c>
      <c r="N7" s="5" t="s">
        <v>6</v>
      </c>
    </row>
    <row r="8" spans="2:14" ht="12.75">
      <c r="B8" t="s">
        <v>7</v>
      </c>
      <c r="E8" s="4">
        <v>245.5</v>
      </c>
      <c r="F8" s="5" t="s">
        <v>41</v>
      </c>
      <c r="J8" t="s">
        <v>7</v>
      </c>
      <c r="M8" s="4">
        <v>245.5</v>
      </c>
      <c r="N8" s="5" t="s">
        <v>41</v>
      </c>
    </row>
    <row r="9" spans="2:14" ht="12.75">
      <c r="B9" t="s">
        <v>8</v>
      </c>
      <c r="E9" s="4">
        <v>1734</v>
      </c>
      <c r="F9" s="5" t="s">
        <v>41</v>
      </c>
      <c r="J9" t="s">
        <v>8</v>
      </c>
      <c r="M9" s="4">
        <v>1734</v>
      </c>
      <c r="N9" s="5" t="s">
        <v>41</v>
      </c>
    </row>
    <row r="12" spans="3:13" ht="12.75">
      <c r="C12" s="6" t="s">
        <v>9</v>
      </c>
      <c r="D12" s="6" t="s">
        <v>10</v>
      </c>
      <c r="E12" s="6" t="s">
        <v>11</v>
      </c>
      <c r="K12" s="6" t="s">
        <v>9</v>
      </c>
      <c r="L12" s="6" t="s">
        <v>10</v>
      </c>
      <c r="M12" s="6" t="s">
        <v>11</v>
      </c>
    </row>
    <row r="13" spans="2:13" ht="12.75">
      <c r="B13" s="7" t="s">
        <v>12</v>
      </c>
      <c r="C13" s="8" t="e">
        <f>SUM(C14:C25)+#REF!</f>
        <v>#REF!</v>
      </c>
      <c r="D13" s="8" t="e">
        <f>SUM(D14:D25)+#REF!</f>
        <v>#REF!</v>
      </c>
      <c r="E13" s="8" t="e">
        <f>SUM(E14:E25)+#REF!</f>
        <v>#REF!</v>
      </c>
      <c r="J13" s="7" t="s">
        <v>12</v>
      </c>
      <c r="K13" s="8">
        <f>SUM(K14:K25)</f>
        <v>471166.25000000006</v>
      </c>
      <c r="L13" s="8">
        <f>SUM(L14:L25)</f>
        <v>446766.65</v>
      </c>
      <c r="M13" s="8">
        <f>SUM(M14:M25)</f>
        <v>24399.59999999999</v>
      </c>
    </row>
    <row r="14" spans="2:13" ht="12.75" hidden="1">
      <c r="B14" s="9" t="s">
        <v>25</v>
      </c>
      <c r="C14" s="8">
        <v>34265.88</v>
      </c>
      <c r="D14" s="8">
        <v>30314.29</v>
      </c>
      <c r="E14" s="8">
        <f aca="true" t="shared" si="0" ref="E14:E25">C14-D14</f>
        <v>3951.5899999999965</v>
      </c>
      <c r="J14" s="9" t="s">
        <v>25</v>
      </c>
      <c r="K14" s="8">
        <v>37696.6</v>
      </c>
      <c r="L14" s="8">
        <v>34866.87</v>
      </c>
      <c r="M14" s="8">
        <f aca="true" t="shared" si="1" ref="M14:M19">K14-L14</f>
        <v>2829.729999999996</v>
      </c>
    </row>
    <row r="15" spans="2:13" ht="12.75" hidden="1">
      <c r="B15" s="9" t="s">
        <v>13</v>
      </c>
      <c r="C15" s="8">
        <v>34265.88</v>
      </c>
      <c r="D15" s="13">
        <v>28266.4</v>
      </c>
      <c r="E15" s="8">
        <f t="shared" si="0"/>
        <v>5999.479999999996</v>
      </c>
      <c r="J15" s="9" t="s">
        <v>13</v>
      </c>
      <c r="K15" s="8">
        <v>37696.6</v>
      </c>
      <c r="L15" s="13">
        <v>35237.19</v>
      </c>
      <c r="M15" s="8">
        <f t="shared" si="1"/>
        <v>2459.409999999996</v>
      </c>
    </row>
    <row r="16" spans="2:13" ht="12.75" hidden="1">
      <c r="B16" s="9" t="s">
        <v>14</v>
      </c>
      <c r="C16" s="8">
        <v>34265.88</v>
      </c>
      <c r="D16" s="13">
        <v>31808.29</v>
      </c>
      <c r="E16" s="8">
        <f t="shared" si="0"/>
        <v>2457.5899999999965</v>
      </c>
      <c r="J16" s="9" t="s">
        <v>14</v>
      </c>
      <c r="K16" s="8">
        <v>37696.6</v>
      </c>
      <c r="L16" s="13">
        <v>39832.76</v>
      </c>
      <c r="M16" s="8">
        <f t="shared" si="1"/>
        <v>-2136.1600000000035</v>
      </c>
    </row>
    <row r="17" spans="2:13" ht="12.75" hidden="1">
      <c r="B17" s="9" t="s">
        <v>15</v>
      </c>
      <c r="C17" s="8">
        <v>34265.88</v>
      </c>
      <c r="D17" s="13">
        <v>34149.91</v>
      </c>
      <c r="E17" s="8">
        <f t="shared" si="0"/>
        <v>115.96999999999389</v>
      </c>
      <c r="J17" s="9" t="s">
        <v>15</v>
      </c>
      <c r="K17" s="8">
        <v>37696.6</v>
      </c>
      <c r="L17" s="13">
        <v>35766.86</v>
      </c>
      <c r="M17" s="8">
        <f t="shared" si="1"/>
        <v>1929.739999999998</v>
      </c>
    </row>
    <row r="18" spans="2:13" ht="12.75" hidden="1">
      <c r="B18" s="9" t="s">
        <v>16</v>
      </c>
      <c r="C18" s="8">
        <v>34265.88</v>
      </c>
      <c r="D18" s="13">
        <v>29702.36</v>
      </c>
      <c r="E18" s="8">
        <f t="shared" si="0"/>
        <v>4563.519999999997</v>
      </c>
      <c r="J18" s="9" t="s">
        <v>16</v>
      </c>
      <c r="K18" s="8">
        <v>37696.6</v>
      </c>
      <c r="L18" s="13">
        <v>32288.13</v>
      </c>
      <c r="M18" s="8">
        <f t="shared" si="1"/>
        <v>5408.4699999999975</v>
      </c>
    </row>
    <row r="19" spans="2:13" ht="12.75" hidden="1">
      <c r="B19" s="9" t="s">
        <v>17</v>
      </c>
      <c r="C19" s="8">
        <v>34265.88</v>
      </c>
      <c r="D19" s="13">
        <v>34522.27</v>
      </c>
      <c r="E19" s="8">
        <f t="shared" si="0"/>
        <v>-256.3899999999994</v>
      </c>
      <c r="J19" s="9" t="s">
        <v>17</v>
      </c>
      <c r="K19" s="8">
        <v>37696.6</v>
      </c>
      <c r="L19" s="13">
        <v>32288.13</v>
      </c>
      <c r="M19" s="8">
        <f t="shared" si="1"/>
        <v>5408.4699999999975</v>
      </c>
    </row>
    <row r="20" spans="2:13" ht="12.75" hidden="1">
      <c r="B20" s="9" t="s">
        <v>18</v>
      </c>
      <c r="C20" s="13">
        <v>37696.6</v>
      </c>
      <c r="D20" s="13">
        <v>34089.78</v>
      </c>
      <c r="E20" s="8">
        <f>C20-D20</f>
        <v>3606.8199999999997</v>
      </c>
      <c r="J20" s="9" t="s">
        <v>18</v>
      </c>
      <c r="K20" s="8">
        <v>37696.6</v>
      </c>
      <c r="L20" s="13">
        <v>35749.88</v>
      </c>
      <c r="M20" s="8">
        <f aca="true" t="shared" si="2" ref="M20:M25">K20-L20</f>
        <v>1946.7200000000012</v>
      </c>
    </row>
    <row r="21" spans="2:13" ht="12.75" hidden="1">
      <c r="B21" s="9" t="s">
        <v>19</v>
      </c>
      <c r="C21" s="13">
        <v>37696.6</v>
      </c>
      <c r="D21" s="13">
        <v>34274.15</v>
      </c>
      <c r="E21" s="8">
        <f>C21-D21</f>
        <v>3422.449999999997</v>
      </c>
      <c r="J21" s="9" t="s">
        <v>19</v>
      </c>
      <c r="K21" s="8">
        <v>41458.01</v>
      </c>
      <c r="L21" s="13">
        <v>38470.87</v>
      </c>
      <c r="M21" s="8">
        <f t="shared" si="2"/>
        <v>2987.1399999999994</v>
      </c>
    </row>
    <row r="22" spans="2:13" ht="12.75" hidden="1">
      <c r="B22" s="9" t="s">
        <v>20</v>
      </c>
      <c r="C22" s="13">
        <v>37696.6</v>
      </c>
      <c r="D22" s="13">
        <v>40572.84</v>
      </c>
      <c r="E22" s="8">
        <f t="shared" si="0"/>
        <v>-2876.239999999998</v>
      </c>
      <c r="J22" s="9" t="s">
        <v>20</v>
      </c>
      <c r="K22" s="8">
        <v>41458.01</v>
      </c>
      <c r="L22" s="13">
        <v>38878.7</v>
      </c>
      <c r="M22" s="8">
        <f t="shared" si="2"/>
        <v>2579.310000000005</v>
      </c>
    </row>
    <row r="23" spans="2:13" ht="12.75" hidden="1">
      <c r="B23" s="9" t="s">
        <v>21</v>
      </c>
      <c r="C23" s="13">
        <v>37696.6</v>
      </c>
      <c r="D23" s="13">
        <v>35448.56</v>
      </c>
      <c r="E23" s="13">
        <f t="shared" si="0"/>
        <v>2248.040000000001</v>
      </c>
      <c r="J23" s="9" t="s">
        <v>21</v>
      </c>
      <c r="K23" s="8">
        <v>41458.01</v>
      </c>
      <c r="L23" s="13">
        <v>36577.95</v>
      </c>
      <c r="M23" s="13">
        <f t="shared" si="2"/>
        <v>4880.060000000005</v>
      </c>
    </row>
    <row r="24" spans="2:13" ht="12.75" hidden="1">
      <c r="B24" s="9" t="s">
        <v>22</v>
      </c>
      <c r="C24" s="13">
        <v>37696.6</v>
      </c>
      <c r="D24" s="13">
        <v>37868.65</v>
      </c>
      <c r="E24" s="13">
        <f t="shared" si="0"/>
        <v>-172.0500000000029</v>
      </c>
      <c r="J24" s="9" t="s">
        <v>22</v>
      </c>
      <c r="K24" s="8">
        <v>41458.01</v>
      </c>
      <c r="L24" s="13">
        <v>41766.8</v>
      </c>
      <c r="M24" s="13">
        <f t="shared" si="2"/>
        <v>-308.7900000000009</v>
      </c>
    </row>
    <row r="25" spans="2:13" ht="12.75" hidden="1">
      <c r="B25" s="9" t="s">
        <v>23</v>
      </c>
      <c r="C25" s="13">
        <v>37696.6</v>
      </c>
      <c r="D25" s="13">
        <v>36774.8</v>
      </c>
      <c r="E25" s="13">
        <f t="shared" si="0"/>
        <v>921.7999999999956</v>
      </c>
      <c r="J25" s="9" t="s">
        <v>23</v>
      </c>
      <c r="K25" s="8">
        <v>41458.01</v>
      </c>
      <c r="L25" s="13">
        <v>45042.51</v>
      </c>
      <c r="M25" s="13">
        <f t="shared" si="2"/>
        <v>-3584.5</v>
      </c>
    </row>
    <row r="26" spans="2:13" ht="12.75">
      <c r="B26" s="7" t="s">
        <v>24</v>
      </c>
      <c r="C26" s="8" t="e">
        <f>SUM(C27:C38)+#REF!</f>
        <v>#REF!</v>
      </c>
      <c r="D26" s="8" t="e">
        <f>SUM(D27:D38)+#REF!</f>
        <v>#REF!</v>
      </c>
      <c r="E26" s="8" t="e">
        <f>SUM(E27:E38)+#REF!</f>
        <v>#REF!</v>
      </c>
      <c r="J26" s="7" t="s">
        <v>24</v>
      </c>
      <c r="K26" s="8">
        <f>SUM(K27:K38)</f>
        <v>348.3600000000001</v>
      </c>
      <c r="L26" s="8">
        <f>SUM(L27:L38)</f>
        <v>297.3399999999999</v>
      </c>
      <c r="M26" s="8">
        <f>SUM(M27:M38)</f>
        <v>51.02000000000001</v>
      </c>
    </row>
    <row r="27" spans="2:13" ht="12.75" hidden="1">
      <c r="B27" s="9" t="s">
        <v>25</v>
      </c>
      <c r="C27" s="8">
        <v>35.24</v>
      </c>
      <c r="D27" s="8">
        <v>28.67</v>
      </c>
      <c r="E27" s="8">
        <f aca="true" t="shared" si="3" ref="E27:E38">C27-D27</f>
        <v>6.57</v>
      </c>
      <c r="J27" s="9" t="s">
        <v>25</v>
      </c>
      <c r="K27" s="8">
        <v>30.83</v>
      </c>
      <c r="L27" s="8">
        <v>31.02</v>
      </c>
      <c r="M27" s="8">
        <f aca="true" t="shared" si="4" ref="M27:M38">K27-L27</f>
        <v>-0.19000000000000128</v>
      </c>
    </row>
    <row r="28" spans="2:13" ht="12.75" hidden="1">
      <c r="B28" s="9" t="s">
        <v>13</v>
      </c>
      <c r="C28" s="8">
        <v>35.24</v>
      </c>
      <c r="D28" s="13">
        <v>28.67</v>
      </c>
      <c r="E28" s="8">
        <f t="shared" si="3"/>
        <v>6.57</v>
      </c>
      <c r="J28" s="9" t="s">
        <v>13</v>
      </c>
      <c r="K28" s="8">
        <v>30.83</v>
      </c>
      <c r="L28" s="13">
        <v>24.41</v>
      </c>
      <c r="M28" s="8">
        <f t="shared" si="4"/>
        <v>6.419999999999998</v>
      </c>
    </row>
    <row r="29" spans="2:13" ht="12.75" hidden="1">
      <c r="B29" s="9" t="s">
        <v>14</v>
      </c>
      <c r="C29" s="13">
        <v>30.83</v>
      </c>
      <c r="D29" s="13">
        <v>27.72</v>
      </c>
      <c r="E29" s="8">
        <f t="shared" si="3"/>
        <v>3.1099999999999994</v>
      </c>
      <c r="J29" s="9" t="s">
        <v>14</v>
      </c>
      <c r="K29" s="8">
        <v>28.67</v>
      </c>
      <c r="L29" s="13">
        <v>26.46</v>
      </c>
      <c r="M29" s="8">
        <f t="shared" si="4"/>
        <v>2.210000000000001</v>
      </c>
    </row>
    <row r="30" spans="2:13" ht="12.75" hidden="1">
      <c r="B30" s="9" t="s">
        <v>15</v>
      </c>
      <c r="C30" s="13">
        <v>30.83</v>
      </c>
      <c r="D30" s="13">
        <v>37.27</v>
      </c>
      <c r="E30" s="8">
        <f t="shared" si="3"/>
        <v>-6.440000000000005</v>
      </c>
      <c r="J30" s="9" t="s">
        <v>15</v>
      </c>
      <c r="K30" s="8">
        <v>28.67</v>
      </c>
      <c r="L30" s="13">
        <v>27.74</v>
      </c>
      <c r="M30" s="8">
        <f t="shared" si="4"/>
        <v>0.9300000000000033</v>
      </c>
    </row>
    <row r="31" spans="2:13" ht="12.75" hidden="1">
      <c r="B31" s="9" t="s">
        <v>16</v>
      </c>
      <c r="C31" s="13">
        <v>30.83</v>
      </c>
      <c r="D31" s="13">
        <v>29.52</v>
      </c>
      <c r="E31" s="8">
        <f t="shared" si="3"/>
        <v>1.3099999999999987</v>
      </c>
      <c r="J31" s="9" t="s">
        <v>16</v>
      </c>
      <c r="K31" s="8">
        <v>28.67</v>
      </c>
      <c r="L31" s="13">
        <v>19.76</v>
      </c>
      <c r="M31" s="8">
        <f t="shared" si="4"/>
        <v>8.91</v>
      </c>
    </row>
    <row r="32" spans="2:13" ht="12.75" hidden="1">
      <c r="B32" s="9" t="s">
        <v>17</v>
      </c>
      <c r="C32" s="13">
        <v>30.83</v>
      </c>
      <c r="D32" s="13">
        <v>36.61</v>
      </c>
      <c r="E32" s="8">
        <f t="shared" si="3"/>
        <v>-5.780000000000001</v>
      </c>
      <c r="J32" s="9" t="s">
        <v>17</v>
      </c>
      <c r="K32" s="8">
        <v>28.67</v>
      </c>
      <c r="L32" s="13">
        <v>19.76</v>
      </c>
      <c r="M32" s="8">
        <f t="shared" si="4"/>
        <v>8.91</v>
      </c>
    </row>
    <row r="33" spans="2:13" ht="12.75" hidden="1">
      <c r="B33" s="9" t="s">
        <v>18</v>
      </c>
      <c r="C33" s="13">
        <v>30.83</v>
      </c>
      <c r="D33" s="13">
        <v>25.25</v>
      </c>
      <c r="E33" s="8">
        <f t="shared" si="3"/>
        <v>5.579999999999998</v>
      </c>
      <c r="J33" s="9" t="s">
        <v>18</v>
      </c>
      <c r="K33" s="8">
        <v>28.67</v>
      </c>
      <c r="L33" s="13">
        <v>26.34</v>
      </c>
      <c r="M33" s="8">
        <f t="shared" si="4"/>
        <v>2.330000000000002</v>
      </c>
    </row>
    <row r="34" spans="2:13" ht="12.75" hidden="1">
      <c r="B34" s="9" t="s">
        <v>19</v>
      </c>
      <c r="C34" s="13">
        <v>30.83</v>
      </c>
      <c r="D34" s="13">
        <v>26.82</v>
      </c>
      <c r="E34" s="8">
        <f t="shared" si="3"/>
        <v>4.009999999999998</v>
      </c>
      <c r="J34" s="9" t="s">
        <v>19</v>
      </c>
      <c r="K34" s="8">
        <v>28.67</v>
      </c>
      <c r="L34" s="13">
        <v>19.76</v>
      </c>
      <c r="M34" s="8">
        <f t="shared" si="4"/>
        <v>8.91</v>
      </c>
    </row>
    <row r="35" spans="2:13" ht="12.75" hidden="1">
      <c r="B35" s="9" t="s">
        <v>20</v>
      </c>
      <c r="C35" s="13">
        <v>30.83</v>
      </c>
      <c r="D35" s="13">
        <v>38.44</v>
      </c>
      <c r="E35" s="8">
        <f t="shared" si="3"/>
        <v>-7.609999999999999</v>
      </c>
      <c r="J35" s="9" t="s">
        <v>20</v>
      </c>
      <c r="K35" s="8">
        <v>28.67</v>
      </c>
      <c r="L35" s="13">
        <v>16.45</v>
      </c>
      <c r="M35" s="8">
        <f t="shared" si="4"/>
        <v>12.220000000000002</v>
      </c>
    </row>
    <row r="36" spans="2:13" ht="12.75" hidden="1">
      <c r="B36" s="9" t="s">
        <v>21</v>
      </c>
      <c r="C36" s="13">
        <v>30.83</v>
      </c>
      <c r="D36" s="13">
        <v>24.49</v>
      </c>
      <c r="E36" s="13">
        <f t="shared" si="3"/>
        <v>6.34</v>
      </c>
      <c r="J36" s="9" t="s">
        <v>21</v>
      </c>
      <c r="K36" s="8">
        <v>28.67</v>
      </c>
      <c r="L36" s="13">
        <v>16.45</v>
      </c>
      <c r="M36" s="13">
        <f t="shared" si="4"/>
        <v>12.220000000000002</v>
      </c>
    </row>
    <row r="37" spans="2:13" ht="12.75" hidden="1">
      <c r="B37" s="9" t="s">
        <v>22</v>
      </c>
      <c r="C37" s="13">
        <v>30.83</v>
      </c>
      <c r="D37" s="13">
        <v>38.24</v>
      </c>
      <c r="E37" s="13">
        <f t="shared" si="3"/>
        <v>-7.410000000000004</v>
      </c>
      <c r="J37" s="9" t="s">
        <v>22</v>
      </c>
      <c r="K37" s="8">
        <v>28.67</v>
      </c>
      <c r="L37" s="13">
        <v>26.38</v>
      </c>
      <c r="M37" s="13">
        <f t="shared" si="4"/>
        <v>2.2900000000000027</v>
      </c>
    </row>
    <row r="38" spans="2:13" ht="12.75" hidden="1">
      <c r="B38" s="9" t="s">
        <v>23</v>
      </c>
      <c r="C38" s="13">
        <v>30.83</v>
      </c>
      <c r="D38" s="13">
        <v>31.9</v>
      </c>
      <c r="E38" s="13">
        <f t="shared" si="3"/>
        <v>-1.0700000000000003</v>
      </c>
      <c r="J38" s="9" t="s">
        <v>23</v>
      </c>
      <c r="K38" s="8">
        <v>28.67</v>
      </c>
      <c r="L38" s="13">
        <v>42.81</v>
      </c>
      <c r="M38" s="13">
        <f t="shared" si="4"/>
        <v>-14.14</v>
      </c>
    </row>
    <row r="39" spans="2:13" ht="12.75" hidden="1">
      <c r="B39" s="7" t="s">
        <v>148</v>
      </c>
      <c r="C39" s="13">
        <f>C40+C41</f>
        <v>10022.93</v>
      </c>
      <c r="D39" s="13">
        <f>D40+D41</f>
        <v>8779.65</v>
      </c>
      <c r="E39" s="13">
        <f>SUM(E40:E41)</f>
        <v>1243.2800000000002</v>
      </c>
      <c r="J39" s="7" t="s">
        <v>148</v>
      </c>
      <c r="K39" s="13">
        <f>K40+K41</f>
        <v>0</v>
      </c>
      <c r="L39" s="13">
        <f>L40+L41</f>
        <v>0</v>
      </c>
      <c r="M39" s="13">
        <f>SUM(M40:M41)</f>
        <v>0</v>
      </c>
    </row>
    <row r="40" spans="2:13" ht="12.75" hidden="1">
      <c r="B40" s="9" t="s">
        <v>21</v>
      </c>
      <c r="C40" s="13">
        <v>10022.93</v>
      </c>
      <c r="D40" s="13">
        <v>7082.09</v>
      </c>
      <c r="E40" s="13">
        <f>C40-D40</f>
        <v>2940.84</v>
      </c>
      <c r="J40" s="9" t="s">
        <v>21</v>
      </c>
      <c r="K40" s="13"/>
      <c r="L40" s="13"/>
      <c r="M40" s="13">
        <f>K40-L40</f>
        <v>0</v>
      </c>
    </row>
    <row r="41" spans="2:13" ht="12.75" hidden="1">
      <c r="B41" s="9" t="s">
        <v>22</v>
      </c>
      <c r="C41" s="13"/>
      <c r="D41" s="13">
        <v>1697.56</v>
      </c>
      <c r="E41" s="13">
        <f>C41-D41</f>
        <v>-1697.56</v>
      </c>
      <c r="J41" s="9" t="s">
        <v>22</v>
      </c>
      <c r="K41" s="13"/>
      <c r="L41" s="13"/>
      <c r="M41" s="13">
        <f>K41-L41</f>
        <v>0</v>
      </c>
    </row>
    <row r="42" spans="2:13" ht="12.75" hidden="1">
      <c r="B42" s="7" t="s">
        <v>73</v>
      </c>
      <c r="C42" s="8">
        <f>SUM(C43:C54)</f>
        <v>59545.5</v>
      </c>
      <c r="D42" s="8">
        <f>SUM(D43:D54)</f>
        <v>57842.719999999994</v>
      </c>
      <c r="E42" s="8">
        <f>SUM(E43:E54)</f>
        <v>1702.7800000000022</v>
      </c>
      <c r="J42" s="7" t="s">
        <v>73</v>
      </c>
      <c r="K42" s="8">
        <f>SUM(K43:K54)</f>
        <v>0</v>
      </c>
      <c r="L42" s="8">
        <f>SUM(L43:L54)</f>
        <v>0</v>
      </c>
      <c r="M42" s="8">
        <f>SUM(M43:M54)</f>
        <v>0</v>
      </c>
    </row>
    <row r="43" spans="2:13" ht="12.75" hidden="1">
      <c r="B43" s="9" t="s">
        <v>25</v>
      </c>
      <c r="C43" s="8">
        <v>11909.1</v>
      </c>
      <c r="D43" s="8">
        <v>11068.99</v>
      </c>
      <c r="E43" s="8">
        <f aca="true" t="shared" si="5" ref="E43:E49">C43-D43</f>
        <v>840.1100000000006</v>
      </c>
      <c r="J43" s="9" t="s">
        <v>25</v>
      </c>
      <c r="K43" s="8"/>
      <c r="L43" s="8"/>
      <c r="M43" s="8">
        <f aca="true" t="shared" si="6" ref="M43:M49">K43-L43</f>
        <v>0</v>
      </c>
    </row>
    <row r="44" spans="2:13" ht="12.75" hidden="1">
      <c r="B44" s="9" t="s">
        <v>13</v>
      </c>
      <c r="C44" s="8">
        <v>11909.1</v>
      </c>
      <c r="D44" s="13">
        <v>9820.21</v>
      </c>
      <c r="E44" s="8">
        <f t="shared" si="5"/>
        <v>2088.8900000000012</v>
      </c>
      <c r="J44" s="9" t="s">
        <v>13</v>
      </c>
      <c r="K44" s="8"/>
      <c r="L44" s="13"/>
      <c r="M44" s="8">
        <f t="shared" si="6"/>
        <v>0</v>
      </c>
    </row>
    <row r="45" spans="2:13" ht="12.75" hidden="1">
      <c r="B45" s="9" t="s">
        <v>14</v>
      </c>
      <c r="C45" s="8">
        <v>11909.1</v>
      </c>
      <c r="D45" s="13">
        <v>11047.6</v>
      </c>
      <c r="E45" s="8">
        <f t="shared" si="5"/>
        <v>861.5</v>
      </c>
      <c r="J45" s="9" t="s">
        <v>14</v>
      </c>
      <c r="K45" s="8"/>
      <c r="L45" s="13"/>
      <c r="M45" s="8">
        <f t="shared" si="6"/>
        <v>0</v>
      </c>
    </row>
    <row r="46" spans="2:13" ht="12.75" hidden="1">
      <c r="B46" s="9" t="s">
        <v>15</v>
      </c>
      <c r="C46" s="8">
        <v>11909.1</v>
      </c>
      <c r="D46" s="13">
        <v>10772.97</v>
      </c>
      <c r="E46" s="8">
        <f t="shared" si="5"/>
        <v>1136.130000000001</v>
      </c>
      <c r="J46" s="9" t="s">
        <v>15</v>
      </c>
      <c r="K46" s="8"/>
      <c r="L46" s="13"/>
      <c r="M46" s="8">
        <f t="shared" si="6"/>
        <v>0</v>
      </c>
    </row>
    <row r="47" spans="2:13" ht="12.75" hidden="1">
      <c r="B47" s="9" t="s">
        <v>16</v>
      </c>
      <c r="C47" s="8">
        <v>11909.1</v>
      </c>
      <c r="D47" s="13">
        <v>9807.61</v>
      </c>
      <c r="E47" s="8">
        <f t="shared" si="5"/>
        <v>2101.49</v>
      </c>
      <c r="J47" s="9" t="s">
        <v>16</v>
      </c>
      <c r="K47" s="8"/>
      <c r="L47" s="13"/>
      <c r="M47" s="8">
        <f t="shared" si="6"/>
        <v>0</v>
      </c>
    </row>
    <row r="48" spans="2:13" ht="12.75" hidden="1">
      <c r="B48" s="9" t="s">
        <v>17</v>
      </c>
      <c r="C48" s="13"/>
      <c r="D48" s="13">
        <v>2710.61</v>
      </c>
      <c r="E48" s="8">
        <f t="shared" si="5"/>
        <v>-2710.61</v>
      </c>
      <c r="J48" s="9" t="s">
        <v>17</v>
      </c>
      <c r="K48" s="13"/>
      <c r="L48" s="13"/>
      <c r="M48" s="8">
        <f t="shared" si="6"/>
        <v>0</v>
      </c>
    </row>
    <row r="49" spans="2:13" ht="12.75" hidden="1">
      <c r="B49" s="9" t="s">
        <v>18</v>
      </c>
      <c r="C49" s="13"/>
      <c r="D49" s="13">
        <v>979.7</v>
      </c>
      <c r="E49" s="8">
        <f t="shared" si="5"/>
        <v>-979.7</v>
      </c>
      <c r="J49" s="9" t="s">
        <v>18</v>
      </c>
      <c r="K49" s="13"/>
      <c r="L49" s="13"/>
      <c r="M49" s="8">
        <f t="shared" si="6"/>
        <v>0</v>
      </c>
    </row>
    <row r="50" spans="2:13" ht="12.75" hidden="1">
      <c r="B50" s="9" t="s">
        <v>19</v>
      </c>
      <c r="C50" s="8"/>
      <c r="D50" s="8">
        <v>1635.03</v>
      </c>
      <c r="E50" s="8">
        <f>C50-D50</f>
        <v>-1635.03</v>
      </c>
      <c r="J50" s="9" t="s">
        <v>19</v>
      </c>
      <c r="K50" s="8"/>
      <c r="L50" s="8"/>
      <c r="M50" s="8">
        <f>K50-L50</f>
        <v>0</v>
      </c>
    </row>
    <row r="51" spans="2:13" ht="12.75" hidden="1">
      <c r="B51" s="9" t="s">
        <v>20</v>
      </c>
      <c r="C51" s="13"/>
      <c r="D51" s="13"/>
      <c r="E51" s="8">
        <f>C51-D51</f>
        <v>0</v>
      </c>
      <c r="J51" s="9" t="s">
        <v>20</v>
      </c>
      <c r="K51" s="13"/>
      <c r="L51" s="13"/>
      <c r="M51" s="8">
        <f>K51-L51</f>
        <v>0</v>
      </c>
    </row>
    <row r="52" spans="2:13" ht="12.75" hidden="1">
      <c r="B52" s="9" t="s">
        <v>21</v>
      </c>
      <c r="C52" s="13"/>
      <c r="D52" s="13"/>
      <c r="E52" s="13">
        <f>C52-D52</f>
        <v>0</v>
      </c>
      <c r="J52" s="9" t="s">
        <v>21</v>
      </c>
      <c r="K52" s="13"/>
      <c r="L52" s="13"/>
      <c r="M52" s="13">
        <f>K52-L52</f>
        <v>0</v>
      </c>
    </row>
    <row r="53" spans="2:13" ht="12.75" hidden="1">
      <c r="B53" s="9" t="s">
        <v>22</v>
      </c>
      <c r="C53" s="13"/>
      <c r="D53" s="13"/>
      <c r="E53" s="13">
        <f>C53-D53</f>
        <v>0</v>
      </c>
      <c r="J53" s="9" t="s">
        <v>22</v>
      </c>
      <c r="K53" s="13"/>
      <c r="L53" s="13"/>
      <c r="M53" s="13">
        <f>K53-L53</f>
        <v>0</v>
      </c>
    </row>
    <row r="54" spans="2:13" ht="12.75" hidden="1">
      <c r="B54" s="9" t="s">
        <v>23</v>
      </c>
      <c r="C54" s="13"/>
      <c r="D54" s="13"/>
      <c r="E54" s="13">
        <f>C54-D54</f>
        <v>0</v>
      </c>
      <c r="J54" s="9" t="s">
        <v>23</v>
      </c>
      <c r="K54" s="13"/>
      <c r="L54" s="13"/>
      <c r="M54" s="13">
        <f>K54-L54</f>
        <v>0</v>
      </c>
    </row>
    <row r="55" spans="2:13" ht="12.75">
      <c r="B55" s="9" t="s">
        <v>26</v>
      </c>
      <c r="C55" s="8" t="e">
        <f>C13+C26</f>
        <v>#REF!</v>
      </c>
      <c r="D55" s="8" t="e">
        <f>D13+D26</f>
        <v>#REF!</v>
      </c>
      <c r="E55" s="8" t="e">
        <f>E13+E26</f>
        <v>#REF!</v>
      </c>
      <c r="J55" s="9" t="s">
        <v>26</v>
      </c>
      <c r="K55" s="8">
        <f>K13+K26</f>
        <v>471514.61000000004</v>
      </c>
      <c r="L55" s="8">
        <f>L13+L26</f>
        <v>447063.99000000005</v>
      </c>
      <c r="M55" s="8">
        <f>M13+M26</f>
        <v>24450.61999999999</v>
      </c>
    </row>
    <row r="57" spans="2:13" ht="12.75">
      <c r="B57" t="s">
        <v>27</v>
      </c>
      <c r="E57" s="12" t="e">
        <f>E55</f>
        <v>#REF!</v>
      </c>
      <c r="J57" t="s">
        <v>27</v>
      </c>
      <c r="M57" s="12">
        <f>M55</f>
        <v>24450.61999999999</v>
      </c>
    </row>
    <row r="59" spans="2:13" ht="12.75">
      <c r="B59" s="11" t="s">
        <v>28</v>
      </c>
      <c r="E59" s="12" t="e">
        <f>E60+E61+#REF!</f>
        <v>#REF!</v>
      </c>
      <c r="J59" s="11" t="s">
        <v>28</v>
      </c>
      <c r="M59" s="12">
        <f>M60+M61</f>
        <v>42132.02</v>
      </c>
    </row>
    <row r="60" spans="2:13" ht="12.75" hidden="1">
      <c r="B60" s="11" t="s">
        <v>29</v>
      </c>
      <c r="E60" s="12">
        <f>(2.75*6*E5)+(2.5*6*E5)</f>
        <v>66591</v>
      </c>
      <c r="J60" s="11" t="s">
        <v>29</v>
      </c>
      <c r="M60" s="12">
        <f>(2.75*2*M5)+(1.1*5*M5)+(1.21*5*M5)</f>
        <v>36043.7</v>
      </c>
    </row>
    <row r="61" spans="2:13" ht="12.75" hidden="1">
      <c r="B61" s="11" t="s">
        <v>30</v>
      </c>
      <c r="E61" s="12">
        <f>(0.24*12*E5)</f>
        <v>6088.32</v>
      </c>
      <c r="J61" s="11" t="s">
        <v>30</v>
      </c>
      <c r="M61" s="12">
        <f>(0.24*12*M5)</f>
        <v>6088.32</v>
      </c>
    </row>
    <row r="62" spans="2:13" ht="12.75">
      <c r="B62" s="11" t="s">
        <v>31</v>
      </c>
      <c r="E62" s="12" t="e">
        <f>(0.66*6*E5)+(0.6*6*E5)+#REF!</f>
        <v>#REF!</v>
      </c>
      <c r="J62" s="11" t="s">
        <v>31</v>
      </c>
      <c r="M62" s="12">
        <f>(0.66*2*M5)</f>
        <v>2790.48</v>
      </c>
    </row>
    <row r="63" spans="2:13" ht="12.75" hidden="1">
      <c r="B63" s="11" t="s">
        <v>81</v>
      </c>
      <c r="E63" s="12">
        <v>0</v>
      </c>
      <c r="J63" s="11" t="s">
        <v>81</v>
      </c>
      <c r="M63" s="12">
        <f>(0.5*2*M5)+(0.55*5*M5)+E63</f>
        <v>7927.5</v>
      </c>
    </row>
    <row r="64" spans="2:13" ht="12.75">
      <c r="B64" s="11" t="s">
        <v>32</v>
      </c>
      <c r="E64" s="12" t="e">
        <f>(2.2*6*E5)+(2*6*E5)+#REF!</f>
        <v>#REF!</v>
      </c>
      <c r="J64" s="11" t="s">
        <v>90</v>
      </c>
      <c r="M64" s="12">
        <f>(2.2*7*M5)+(2.42*5*M5)</f>
        <v>58135</v>
      </c>
    </row>
    <row r="65" spans="2:13" ht="12.75" hidden="1">
      <c r="B65" s="11" t="s">
        <v>33</v>
      </c>
      <c r="E65" s="12" t="e">
        <f>#REF!</f>
        <v>#REF!</v>
      </c>
      <c r="J65" s="11" t="s">
        <v>33</v>
      </c>
      <c r="M65" s="12">
        <v>0</v>
      </c>
    </row>
    <row r="66" spans="2:13" ht="12.75">
      <c r="B66" s="11" t="s">
        <v>80</v>
      </c>
      <c r="E66" s="12" t="e">
        <f>(0.72*1*E5)+(0.7*2*E5)+#REF!</f>
        <v>#REF!</v>
      </c>
      <c r="J66" s="11" t="s">
        <v>80</v>
      </c>
      <c r="M66" s="12">
        <f>(0.72*2*M5)</f>
        <v>3044.16</v>
      </c>
    </row>
    <row r="67" spans="2:13" ht="12.75">
      <c r="B67" s="11" t="s">
        <v>34</v>
      </c>
      <c r="E67" s="12" t="e">
        <f>(3.3*6*E5)+(3*6*E5)+#REF!</f>
        <v>#REF!</v>
      </c>
      <c r="J67" s="11" t="s">
        <v>34</v>
      </c>
      <c r="M67" s="12">
        <f>(3.3*2*M5)+(1.2*5*M5)+(1.32*5*M5)</f>
        <v>40588.8</v>
      </c>
    </row>
    <row r="68" spans="2:13" ht="12.75">
      <c r="B68" s="11" t="s">
        <v>35</v>
      </c>
      <c r="E68" s="12" t="e">
        <f>(2.2*6*E5)+(2*6*E5)+#REF!</f>
        <v>#REF!</v>
      </c>
      <c r="J68" s="11" t="s">
        <v>35</v>
      </c>
      <c r="M68" s="12">
        <f>(2.2*2*M5)+(4.1*5*M5)+(4.51*5*M5)</f>
        <v>100309.29999999999</v>
      </c>
    </row>
    <row r="69" spans="2:13" ht="12.75">
      <c r="B69" s="11" t="s">
        <v>36</v>
      </c>
      <c r="E69" s="12" t="e">
        <f>(0.24*6*E5)+(0.22*6*E5)+#REF!</f>
        <v>#REF!</v>
      </c>
      <c r="J69" s="11" t="s">
        <v>36</v>
      </c>
      <c r="M69" s="12">
        <f>(0.24*7*M5)+(0.26*5*M5)</f>
        <v>6299.72</v>
      </c>
    </row>
    <row r="70" spans="2:13" ht="12.75">
      <c r="B70" s="11" t="s">
        <v>79</v>
      </c>
      <c r="E70" s="12" t="e">
        <f>(0.77*6*E5)+(0.7*6*E5)+#REF!</f>
        <v>#REF!</v>
      </c>
      <c r="J70" s="11" t="s">
        <v>82</v>
      </c>
      <c r="M70" s="12">
        <f>(0.77*2*M5)+(3.2*5*M5)+(3.52*5*M5)</f>
        <v>74285.95999999999</v>
      </c>
    </row>
    <row r="71" spans="2:13" ht="12.75">
      <c r="B71" s="11" t="s">
        <v>37</v>
      </c>
      <c r="E71" s="12" t="e">
        <f>2.25*12*E6+#REF!</f>
        <v>#REF!</v>
      </c>
      <c r="J71" s="11" t="s">
        <v>37</v>
      </c>
      <c r="M71" s="12">
        <f>2.25*12*M6</f>
        <v>1215</v>
      </c>
    </row>
    <row r="72" spans="1:16" ht="12.75">
      <c r="A72" t="s">
        <v>115</v>
      </c>
      <c r="B72" s="11" t="s">
        <v>38</v>
      </c>
      <c r="E72" s="12" t="e">
        <f>#REF!+H78</f>
        <v>#REF!</v>
      </c>
      <c r="H72" s="17">
        <v>7176</v>
      </c>
      <c r="I72" t="s">
        <v>127</v>
      </c>
      <c r="J72" s="11" t="s">
        <v>38</v>
      </c>
      <c r="M72" s="12">
        <v>0</v>
      </c>
      <c r="P72" s="17"/>
    </row>
    <row r="73" spans="1:16" ht="12.75">
      <c r="A73" t="s">
        <v>108</v>
      </c>
      <c r="B73" s="11" t="s">
        <v>39</v>
      </c>
      <c r="E73" s="12" t="e">
        <f>(1.76*6*E5)+(1.6*6*E5)+#REF!</f>
        <v>#REF!</v>
      </c>
      <c r="H73" s="17">
        <v>14940</v>
      </c>
      <c r="I73" t="s">
        <v>115</v>
      </c>
      <c r="J73" s="11" t="s">
        <v>39</v>
      </c>
      <c r="M73" s="12">
        <f>(1.76*2*M5)+(0.75*5*M5)+(0.83*5*M5)</f>
        <v>24141.879999999997</v>
      </c>
      <c r="P73" s="17"/>
    </row>
    <row r="74" spans="1:16" ht="12.75" hidden="1">
      <c r="A74" t="s">
        <v>102</v>
      </c>
      <c r="B74" s="15" t="s">
        <v>65</v>
      </c>
      <c r="E74" s="12">
        <v>0</v>
      </c>
      <c r="H74" s="17">
        <v>4204</v>
      </c>
      <c r="I74" t="s">
        <v>95</v>
      </c>
      <c r="J74" s="15" t="s">
        <v>65</v>
      </c>
      <c r="M74" s="12">
        <v>0</v>
      </c>
      <c r="P74" s="17"/>
    </row>
    <row r="75" spans="2:16" ht="12.75">
      <c r="B75" s="11"/>
      <c r="E75" s="12"/>
      <c r="H75" s="18">
        <v>7529</v>
      </c>
      <c r="I75" t="s">
        <v>129</v>
      </c>
      <c r="J75" s="11"/>
      <c r="M75" s="12"/>
      <c r="P75" s="18"/>
    </row>
    <row r="76" spans="2:16" ht="12.75">
      <c r="B76" s="11" t="s">
        <v>40</v>
      </c>
      <c r="E76" s="12" t="e">
        <f>E59+E62+E63+E64+E65+E66+E67+E68+E69+E70+E71+E72+E73+E74</f>
        <v>#REF!</v>
      </c>
      <c r="H76" s="18">
        <v>1420.15</v>
      </c>
      <c r="I76" t="s">
        <v>152</v>
      </c>
      <c r="J76" s="11" t="s">
        <v>40</v>
      </c>
      <c r="M76" s="12">
        <f>M59+M62+M63+M64+M65+M66+M67+M68+M69+M70+M71+M72+M73+M74</f>
        <v>360869.82</v>
      </c>
      <c r="P76" s="18"/>
    </row>
    <row r="77" spans="2:16" ht="12.75">
      <c r="B77" s="11"/>
      <c r="E77" s="12"/>
      <c r="H77" s="18">
        <v>7620.91</v>
      </c>
      <c r="I77" t="s">
        <v>157</v>
      </c>
      <c r="J77" s="11"/>
      <c r="M77" s="12"/>
      <c r="P77" s="18"/>
    </row>
    <row r="78" spans="2:13" ht="12.75">
      <c r="B78" t="s">
        <v>72</v>
      </c>
      <c r="E78" s="12" t="e">
        <f>D55-E76</f>
        <v>#REF!</v>
      </c>
      <c r="H78">
        <f>SUM(H72:H77)</f>
        <v>42890.06</v>
      </c>
      <c r="I78" t="s">
        <v>156</v>
      </c>
      <c r="J78" t="s">
        <v>72</v>
      </c>
      <c r="M78" s="12">
        <f>L55-M76</f>
        <v>86194.17000000004</v>
      </c>
    </row>
    <row r="79" ht="12.75">
      <c r="B79" s="11" t="s">
        <v>38</v>
      </c>
    </row>
    <row r="80" spans="2:3" ht="12.75">
      <c r="B80">
        <v>1361.77</v>
      </c>
      <c r="C80" t="s">
        <v>114</v>
      </c>
    </row>
    <row r="81" spans="2:3" ht="12.75">
      <c r="B81">
        <v>1091.18</v>
      </c>
      <c r="C81" t="s">
        <v>139</v>
      </c>
    </row>
    <row r="82" spans="2:3" ht="12.75">
      <c r="B82">
        <v>3996.25</v>
      </c>
      <c r="C82" t="s">
        <v>101</v>
      </c>
    </row>
    <row r="83" ht="12.75">
      <c r="B83" s="9">
        <f>SUM(B80:B82)</f>
        <v>6449.2</v>
      </c>
    </row>
    <row r="85" spans="2:3" ht="12.75">
      <c r="B85">
        <v>11098</v>
      </c>
      <c r="C85" t="s">
        <v>115</v>
      </c>
    </row>
    <row r="86" spans="2:3" ht="12.75">
      <c r="B86">
        <v>34553</v>
      </c>
      <c r="C86" t="s">
        <v>108</v>
      </c>
    </row>
    <row r="87" spans="2:3" ht="12.75">
      <c r="B87">
        <v>84819</v>
      </c>
      <c r="C87" t="s">
        <v>102</v>
      </c>
    </row>
    <row r="88" ht="12.75">
      <c r="B88" s="9">
        <f>SUM(B85:B87)</f>
        <v>130470</v>
      </c>
    </row>
    <row r="90" spans="2:3" ht="12.75">
      <c r="B90" s="17">
        <v>7176</v>
      </c>
      <c r="C90" t="s">
        <v>127</v>
      </c>
    </row>
    <row r="91" spans="2:3" ht="12.75">
      <c r="B91" s="17">
        <v>0</v>
      </c>
      <c r="C91" t="s">
        <v>115</v>
      </c>
    </row>
    <row r="92" spans="2:3" ht="12.75">
      <c r="B92" s="17">
        <v>4204</v>
      </c>
      <c r="C92" t="s">
        <v>95</v>
      </c>
    </row>
    <row r="93" ht="12.75">
      <c r="B93" s="9">
        <f>SUM(B90:B92)</f>
        <v>11380</v>
      </c>
    </row>
    <row r="95" spans="2:3" ht="12.75">
      <c r="B95" t="s">
        <v>83</v>
      </c>
      <c r="C95" s="9">
        <f>B83+B88+B93</f>
        <v>148299.2</v>
      </c>
    </row>
  </sheetData>
  <sheetProtection/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80"/>
  <dimension ref="A3:G84"/>
  <sheetViews>
    <sheetView zoomScalePageLayoutView="0" workbookViewId="0" topLeftCell="A26">
      <selection activeCell="A84" sqref="A84:D92"/>
    </sheetView>
  </sheetViews>
  <sheetFormatPr defaultColWidth="9.140625" defaultRowHeight="12.75"/>
  <cols>
    <col min="1" max="1" width="13.28125" style="0" customWidth="1"/>
    <col min="2" max="2" width="14.140625" style="0" customWidth="1"/>
    <col min="3" max="3" width="13.8515625" style="0" customWidth="1"/>
    <col min="4" max="4" width="13.28125" style="0" customWidth="1"/>
    <col min="5" max="5" width="3.140625" style="0" customWidth="1"/>
    <col min="6" max="6" width="2.8515625" style="0" customWidth="1"/>
  </cols>
  <sheetData>
    <row r="3" spans="1:7" ht="12.75">
      <c r="A3" s="1" t="s">
        <v>0</v>
      </c>
      <c r="B3" s="2" t="s">
        <v>1</v>
      </c>
      <c r="C3" s="1" t="s">
        <v>78</v>
      </c>
      <c r="D3" s="1"/>
      <c r="E3" s="1" t="s">
        <v>2</v>
      </c>
      <c r="F3" s="3">
        <v>33</v>
      </c>
      <c r="G3">
        <v>2015</v>
      </c>
    </row>
    <row r="5" spans="1:5" ht="12.75">
      <c r="A5" t="s">
        <v>3</v>
      </c>
      <c r="D5" s="4">
        <v>908.5</v>
      </c>
      <c r="E5" s="5" t="s">
        <v>41</v>
      </c>
    </row>
    <row r="6" spans="1:5" ht="12.75">
      <c r="A6" t="s">
        <v>4</v>
      </c>
      <c r="D6" s="4">
        <v>22</v>
      </c>
      <c r="E6" s="5"/>
    </row>
    <row r="7" spans="1:5" ht="12.75">
      <c r="A7" t="s">
        <v>5</v>
      </c>
      <c r="D7" s="4">
        <v>45</v>
      </c>
      <c r="E7" s="5" t="s">
        <v>6</v>
      </c>
    </row>
    <row r="8" spans="1:5" ht="12.75">
      <c r="A8" t="s">
        <v>7</v>
      </c>
      <c r="D8" s="4">
        <v>41.5</v>
      </c>
      <c r="E8" s="5" t="s">
        <v>41</v>
      </c>
    </row>
    <row r="9" spans="1:5" ht="12.75">
      <c r="A9" t="s">
        <v>8</v>
      </c>
      <c r="D9" s="4">
        <v>2052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179653.14</v>
      </c>
      <c r="C13" s="8">
        <f>SUM(C14:C25)</f>
        <v>197400.19</v>
      </c>
      <c r="D13" s="8">
        <f>SUM(D14:D25)</f>
        <v>-17747.050000000003</v>
      </c>
    </row>
    <row r="14" spans="1:4" ht="12.75" hidden="1">
      <c r="A14" s="9" t="s">
        <v>25</v>
      </c>
      <c r="B14" s="8">
        <v>14602.23</v>
      </c>
      <c r="C14" s="8">
        <v>11811.2</v>
      </c>
      <c r="D14" s="8">
        <f aca="true" t="shared" si="0" ref="D14:D25">B14-C14</f>
        <v>2791.029999999999</v>
      </c>
    </row>
    <row r="15" spans="1:4" ht="12.75" hidden="1">
      <c r="A15" s="9" t="s">
        <v>13</v>
      </c>
      <c r="B15" s="8">
        <v>14602.23</v>
      </c>
      <c r="C15" s="13">
        <v>9606.63</v>
      </c>
      <c r="D15" s="8">
        <f t="shared" si="0"/>
        <v>4995.6</v>
      </c>
    </row>
    <row r="16" spans="1:4" ht="12.75" hidden="1">
      <c r="A16" s="9" t="s">
        <v>14</v>
      </c>
      <c r="B16" s="8">
        <v>14602.23</v>
      </c>
      <c r="C16" s="13">
        <v>24204.5</v>
      </c>
      <c r="D16" s="8">
        <f t="shared" si="0"/>
        <v>-9602.27</v>
      </c>
    </row>
    <row r="17" spans="1:4" ht="12.75" hidden="1">
      <c r="A17" s="9" t="s">
        <v>15</v>
      </c>
      <c r="B17" s="8">
        <v>14602.23</v>
      </c>
      <c r="C17" s="13">
        <v>12340.25</v>
      </c>
      <c r="D17" s="8">
        <f t="shared" si="0"/>
        <v>2261.9799999999996</v>
      </c>
    </row>
    <row r="18" spans="1:4" ht="12.75" hidden="1">
      <c r="A18" s="9" t="s">
        <v>16</v>
      </c>
      <c r="B18" s="8">
        <v>14607.06</v>
      </c>
      <c r="C18" s="13">
        <v>11721.24</v>
      </c>
      <c r="D18" s="8">
        <f t="shared" si="0"/>
        <v>2885.8199999999997</v>
      </c>
    </row>
    <row r="19" spans="1:4" ht="12.75" hidden="1">
      <c r="A19" s="9" t="s">
        <v>17</v>
      </c>
      <c r="B19" s="8">
        <v>14607.06</v>
      </c>
      <c r="C19" s="13">
        <v>22886.43</v>
      </c>
      <c r="D19" s="8">
        <f t="shared" si="0"/>
        <v>-8279.37</v>
      </c>
    </row>
    <row r="20" spans="1:4" ht="12.75" hidden="1">
      <c r="A20" s="9" t="s">
        <v>18</v>
      </c>
      <c r="B20" s="8">
        <v>14607.06</v>
      </c>
      <c r="C20" s="13">
        <v>13674.55</v>
      </c>
      <c r="D20" s="8">
        <f t="shared" si="0"/>
        <v>932.5100000000002</v>
      </c>
    </row>
    <row r="21" spans="1:4" ht="12.75" hidden="1">
      <c r="A21" s="9" t="s">
        <v>19</v>
      </c>
      <c r="B21" s="13">
        <v>16069.64</v>
      </c>
      <c r="C21" s="13">
        <v>12140.6</v>
      </c>
      <c r="D21" s="8">
        <f t="shared" si="0"/>
        <v>3929.039999999999</v>
      </c>
    </row>
    <row r="22" spans="1:4" ht="12.75" hidden="1">
      <c r="A22" s="9" t="s">
        <v>20</v>
      </c>
      <c r="B22" s="13">
        <v>16069.64</v>
      </c>
      <c r="C22" s="13">
        <v>39422.13</v>
      </c>
      <c r="D22" s="8">
        <f t="shared" si="0"/>
        <v>-23352.489999999998</v>
      </c>
    </row>
    <row r="23" spans="1:4" ht="12.75" hidden="1">
      <c r="A23" s="9" t="s">
        <v>21</v>
      </c>
      <c r="B23" s="13">
        <v>16069.64</v>
      </c>
      <c r="C23" s="13">
        <v>14630.71</v>
      </c>
      <c r="D23" s="13">
        <f t="shared" si="0"/>
        <v>1438.9300000000003</v>
      </c>
    </row>
    <row r="24" spans="1:4" ht="12.75" hidden="1">
      <c r="A24" s="9" t="s">
        <v>22</v>
      </c>
      <c r="B24" s="13">
        <v>14607.06</v>
      </c>
      <c r="C24" s="13">
        <v>11037.01</v>
      </c>
      <c r="D24" s="13">
        <f t="shared" si="0"/>
        <v>3570.0499999999993</v>
      </c>
    </row>
    <row r="25" spans="1:4" ht="12.75" hidden="1">
      <c r="A25" s="9" t="s">
        <v>23</v>
      </c>
      <c r="B25" s="13">
        <v>14607.06</v>
      </c>
      <c r="C25" s="13">
        <v>13924.94</v>
      </c>
      <c r="D25" s="13">
        <f t="shared" si="0"/>
        <v>682.119999999999</v>
      </c>
    </row>
    <row r="26" spans="1:4" ht="12.75">
      <c r="A26" s="7" t="s">
        <v>24</v>
      </c>
      <c r="B26" s="8">
        <f>SUM(B27:B38)</f>
        <v>107.76000000000003</v>
      </c>
      <c r="C26" s="8">
        <f>SUM(C27:C38)</f>
        <v>73.8</v>
      </c>
      <c r="D26" s="8">
        <f>SUM(D27:D38)</f>
        <v>33.959999999999994</v>
      </c>
    </row>
    <row r="27" spans="1:4" ht="12.75" hidden="1">
      <c r="A27" s="9" t="s">
        <v>25</v>
      </c>
      <c r="B27" s="8">
        <v>8.98</v>
      </c>
      <c r="C27" s="8">
        <v>6.15</v>
      </c>
      <c r="D27" s="8">
        <f aca="true" t="shared" si="1" ref="D27:D38">B27-C27</f>
        <v>2.83</v>
      </c>
    </row>
    <row r="28" spans="1:4" ht="12.75" hidden="1">
      <c r="A28" s="9" t="s">
        <v>13</v>
      </c>
      <c r="B28" s="8">
        <v>8.98</v>
      </c>
      <c r="C28" s="8">
        <v>6.15</v>
      </c>
      <c r="D28" s="8">
        <f t="shared" si="1"/>
        <v>2.83</v>
      </c>
    </row>
    <row r="29" spans="1:4" ht="12.75" hidden="1">
      <c r="A29" s="9" t="s">
        <v>14</v>
      </c>
      <c r="B29" s="8">
        <v>8.98</v>
      </c>
      <c r="C29" s="8">
        <v>6.15</v>
      </c>
      <c r="D29" s="8">
        <f t="shared" si="1"/>
        <v>2.83</v>
      </c>
    </row>
    <row r="30" spans="1:4" ht="12.75" hidden="1">
      <c r="A30" s="9" t="s">
        <v>15</v>
      </c>
      <c r="B30" s="8">
        <v>8.98</v>
      </c>
      <c r="C30" s="8">
        <v>6.15</v>
      </c>
      <c r="D30" s="8">
        <f t="shared" si="1"/>
        <v>2.83</v>
      </c>
    </row>
    <row r="31" spans="1:4" ht="12.75" hidden="1">
      <c r="A31" s="9" t="s">
        <v>16</v>
      </c>
      <c r="B31" s="8">
        <v>8.98</v>
      </c>
      <c r="C31" s="8">
        <v>6.15</v>
      </c>
      <c r="D31" s="8">
        <f t="shared" si="1"/>
        <v>2.83</v>
      </c>
    </row>
    <row r="32" spans="1:4" ht="12.75" hidden="1">
      <c r="A32" s="9" t="s">
        <v>17</v>
      </c>
      <c r="B32" s="8">
        <v>8.98</v>
      </c>
      <c r="C32" s="8">
        <v>6.15</v>
      </c>
      <c r="D32" s="8">
        <f t="shared" si="1"/>
        <v>2.83</v>
      </c>
    </row>
    <row r="33" spans="1:4" ht="12.75" hidden="1">
      <c r="A33" s="9" t="s">
        <v>18</v>
      </c>
      <c r="B33" s="8">
        <v>8.98</v>
      </c>
      <c r="C33" s="8">
        <v>6.15</v>
      </c>
      <c r="D33" s="8">
        <f t="shared" si="1"/>
        <v>2.83</v>
      </c>
    </row>
    <row r="34" spans="1:4" ht="12.75" hidden="1">
      <c r="A34" s="9" t="s">
        <v>19</v>
      </c>
      <c r="B34" s="8">
        <v>8.98</v>
      </c>
      <c r="C34" s="8">
        <v>6.15</v>
      </c>
      <c r="D34" s="8">
        <f t="shared" si="1"/>
        <v>2.83</v>
      </c>
    </row>
    <row r="35" spans="1:4" ht="12.75" hidden="1">
      <c r="A35" s="9" t="s">
        <v>20</v>
      </c>
      <c r="B35" s="8">
        <v>8.98</v>
      </c>
      <c r="C35" s="8">
        <v>6.15</v>
      </c>
      <c r="D35" s="8">
        <f t="shared" si="1"/>
        <v>2.83</v>
      </c>
    </row>
    <row r="36" spans="1:4" ht="12.75" hidden="1">
      <c r="A36" s="9" t="s">
        <v>21</v>
      </c>
      <c r="B36" s="8">
        <v>8.98</v>
      </c>
      <c r="C36" s="8">
        <v>6.15</v>
      </c>
      <c r="D36" s="13">
        <f t="shared" si="1"/>
        <v>2.83</v>
      </c>
    </row>
    <row r="37" spans="1:4" ht="12.75" hidden="1">
      <c r="A37" s="9" t="s">
        <v>22</v>
      </c>
      <c r="B37" s="8">
        <v>8.98</v>
      </c>
      <c r="C37" s="8">
        <v>6.15</v>
      </c>
      <c r="D37" s="13">
        <f t="shared" si="1"/>
        <v>2.83</v>
      </c>
    </row>
    <row r="38" spans="1:4" ht="12.75" hidden="1">
      <c r="A38" s="9" t="s">
        <v>23</v>
      </c>
      <c r="B38" s="8">
        <v>8.98</v>
      </c>
      <c r="C38" s="8">
        <v>6.15</v>
      </c>
      <c r="D38" s="13">
        <f t="shared" si="1"/>
        <v>2.83</v>
      </c>
    </row>
    <row r="39" spans="1:4" ht="12.75" hidden="1">
      <c r="A39" s="7" t="s">
        <v>148</v>
      </c>
      <c r="B39" s="13">
        <f>SUM(B40:B48)</f>
        <v>0</v>
      </c>
      <c r="C39" s="13">
        <f>SUM(C40:C48)</f>
        <v>0</v>
      </c>
      <c r="D39" s="13">
        <f>SUM(D40:D48)</f>
        <v>0</v>
      </c>
    </row>
    <row r="40" spans="1:4" ht="12.75" hidden="1">
      <c r="A40" s="9" t="s">
        <v>15</v>
      </c>
      <c r="B40" s="13"/>
      <c r="C40" s="13"/>
      <c r="D40" s="13">
        <f aca="true" t="shared" si="2" ref="D40:D46">B40-C40</f>
        <v>0</v>
      </c>
    </row>
    <row r="41" spans="1:4" ht="12.75" hidden="1">
      <c r="A41" s="9" t="s">
        <v>16</v>
      </c>
      <c r="B41" s="13"/>
      <c r="C41" s="13"/>
      <c r="D41" s="13">
        <f t="shared" si="2"/>
        <v>0</v>
      </c>
    </row>
    <row r="42" spans="1:4" ht="12.75" hidden="1">
      <c r="A42" s="9" t="s">
        <v>17</v>
      </c>
      <c r="B42" s="13"/>
      <c r="C42" s="13"/>
      <c r="D42" s="13">
        <f t="shared" si="2"/>
        <v>0</v>
      </c>
    </row>
    <row r="43" spans="1:4" ht="12.75" hidden="1">
      <c r="A43" s="9" t="s">
        <v>18</v>
      </c>
      <c r="B43" s="13"/>
      <c r="C43" s="13"/>
      <c r="D43" s="13">
        <f t="shared" si="2"/>
        <v>0</v>
      </c>
    </row>
    <row r="44" spans="1:4" ht="12.75" hidden="1">
      <c r="A44" s="9" t="s">
        <v>19</v>
      </c>
      <c r="B44" s="13"/>
      <c r="C44" s="13"/>
      <c r="D44" s="13">
        <f t="shared" si="2"/>
        <v>0</v>
      </c>
    </row>
    <row r="45" spans="1:4" ht="12.75" hidden="1">
      <c r="A45" s="9" t="s">
        <v>20</v>
      </c>
      <c r="B45" s="13"/>
      <c r="C45" s="13"/>
      <c r="D45" s="13">
        <f t="shared" si="2"/>
        <v>0</v>
      </c>
    </row>
    <row r="46" spans="1:4" ht="12.75" hidden="1">
      <c r="A46" s="9" t="s">
        <v>21</v>
      </c>
      <c r="B46" s="13"/>
      <c r="C46" s="13"/>
      <c r="D46" s="13">
        <f t="shared" si="2"/>
        <v>0</v>
      </c>
    </row>
    <row r="47" spans="1:4" ht="12.75" hidden="1">
      <c r="A47" s="9" t="s">
        <v>22</v>
      </c>
      <c r="B47" s="13"/>
      <c r="C47" s="13"/>
      <c r="D47" s="13">
        <f>B47-C47</f>
        <v>0</v>
      </c>
    </row>
    <row r="48" spans="1:4" ht="12.75" hidden="1">
      <c r="A48" s="9" t="s">
        <v>23</v>
      </c>
      <c r="B48" s="13"/>
      <c r="C48" s="13"/>
      <c r="D48" s="13">
        <f>B48-C48</f>
        <v>0</v>
      </c>
    </row>
    <row r="49" spans="1:4" ht="12.75" hidden="1">
      <c r="A49" s="7" t="s">
        <v>43</v>
      </c>
      <c r="B49" s="13">
        <f>SUM(B50:B58)</f>
        <v>0</v>
      </c>
      <c r="C49" s="13">
        <f>SUM(C50:C58)</f>
        <v>0</v>
      </c>
      <c r="D49" s="13">
        <f>SUM(D50:D58)</f>
        <v>0</v>
      </c>
    </row>
    <row r="50" spans="1:4" ht="12.75" hidden="1">
      <c r="A50" s="9" t="s">
        <v>25</v>
      </c>
      <c r="B50" s="13"/>
      <c r="C50" s="13"/>
      <c r="D50" s="8">
        <f aca="true" t="shared" si="3" ref="D50:D58">B50-C50</f>
        <v>0</v>
      </c>
    </row>
    <row r="51" spans="1:4" ht="12.75" hidden="1">
      <c r="A51" s="9" t="s">
        <v>13</v>
      </c>
      <c r="B51" s="13"/>
      <c r="C51" s="13"/>
      <c r="D51" s="8">
        <f t="shared" si="3"/>
        <v>0</v>
      </c>
    </row>
    <row r="52" spans="1:4" ht="12.75" hidden="1">
      <c r="A52" s="9" t="s">
        <v>14</v>
      </c>
      <c r="B52" s="13"/>
      <c r="C52" s="13"/>
      <c r="D52" s="8">
        <f t="shared" si="3"/>
        <v>0</v>
      </c>
    </row>
    <row r="53" spans="1:4" ht="12.75" hidden="1">
      <c r="A53" s="9" t="s">
        <v>15</v>
      </c>
      <c r="B53" s="13"/>
      <c r="C53" s="13"/>
      <c r="D53" s="8">
        <f t="shared" si="3"/>
        <v>0</v>
      </c>
    </row>
    <row r="54" spans="1:4" ht="12.75" hidden="1">
      <c r="A54" s="9" t="s">
        <v>16</v>
      </c>
      <c r="B54" s="8"/>
      <c r="C54" s="8"/>
      <c r="D54" s="8">
        <f t="shared" si="3"/>
        <v>0</v>
      </c>
    </row>
    <row r="55" spans="1:4" ht="12.75" hidden="1">
      <c r="A55" s="9" t="s">
        <v>17</v>
      </c>
      <c r="B55" s="13"/>
      <c r="C55" s="13"/>
      <c r="D55" s="8">
        <f t="shared" si="3"/>
        <v>0</v>
      </c>
    </row>
    <row r="56" spans="1:4" ht="12.75" hidden="1">
      <c r="A56" s="9" t="s">
        <v>18</v>
      </c>
      <c r="B56" s="13"/>
      <c r="C56" s="13"/>
      <c r="D56" s="13">
        <f t="shared" si="3"/>
        <v>0</v>
      </c>
    </row>
    <row r="57" spans="1:4" ht="12.75" hidden="1">
      <c r="A57" s="9" t="s">
        <v>19</v>
      </c>
      <c r="B57" s="13"/>
      <c r="C57" s="13"/>
      <c r="D57" s="13">
        <f t="shared" si="3"/>
        <v>0</v>
      </c>
    </row>
    <row r="58" spans="1:4" ht="12.75" hidden="1">
      <c r="A58" s="9" t="s">
        <v>20</v>
      </c>
      <c r="B58" s="13"/>
      <c r="C58" s="13"/>
      <c r="D58" s="13">
        <f t="shared" si="3"/>
        <v>0</v>
      </c>
    </row>
    <row r="59" spans="1:4" ht="12.75">
      <c r="A59" s="9" t="s">
        <v>26</v>
      </c>
      <c r="B59" s="8">
        <f>B13+B26</f>
        <v>179760.90000000002</v>
      </c>
      <c r="C59" s="8">
        <f>C13+C26</f>
        <v>197473.99</v>
      </c>
      <c r="D59" s="8">
        <f>D13+D26</f>
        <v>-17713.090000000004</v>
      </c>
    </row>
    <row r="61" spans="1:4" ht="12.75">
      <c r="A61" t="s">
        <v>27</v>
      </c>
      <c r="D61" s="12">
        <f>D59</f>
        <v>-17713.090000000004</v>
      </c>
    </row>
    <row r="63" spans="1:4" ht="12.75">
      <c r="A63" s="11" t="s">
        <v>28</v>
      </c>
      <c r="D63" s="12">
        <f>D64+D65</f>
        <v>18106.405</v>
      </c>
    </row>
    <row r="64" spans="1:4" ht="12.75" hidden="1">
      <c r="A64" s="11" t="s">
        <v>29</v>
      </c>
      <c r="D64" s="12">
        <f>(2.75*2*D5)+(1.1*5*D5)+(1.21*5*D5)</f>
        <v>15489.925</v>
      </c>
    </row>
    <row r="65" spans="1:4" ht="12.75" hidden="1">
      <c r="A65" s="11" t="s">
        <v>30</v>
      </c>
      <c r="D65" s="12">
        <f>(0.24*12*D5)</f>
        <v>2616.48</v>
      </c>
    </row>
    <row r="66" spans="1:4" ht="12.75">
      <c r="A66" s="11" t="s">
        <v>31</v>
      </c>
      <c r="D66" s="12">
        <f>(0.66*2*D5)</f>
        <v>1199.22</v>
      </c>
    </row>
    <row r="67" spans="1:4" ht="12.75">
      <c r="A67" s="11" t="s">
        <v>81</v>
      </c>
      <c r="D67" s="12">
        <f>(0.5*1*D5)+(0.55*1*D5)+(0.6*1*D5)</f>
        <v>1499.025</v>
      </c>
    </row>
    <row r="68" spans="1:4" ht="12.75">
      <c r="A68" s="11" t="s">
        <v>90</v>
      </c>
      <c r="D68" s="12">
        <f>(2.2*7*D5)+(2.42*5*D5)</f>
        <v>24983.75</v>
      </c>
    </row>
    <row r="69" spans="1:4" ht="12.75" hidden="1">
      <c r="A69" s="11" t="s">
        <v>33</v>
      </c>
      <c r="D69" s="12">
        <v>0</v>
      </c>
    </row>
    <row r="70" spans="1:4" ht="12.75">
      <c r="A70" s="11" t="s">
        <v>80</v>
      </c>
      <c r="D70" s="12">
        <f>(0.72*1*D5)+(0.79*1*D5)</f>
        <v>1371.835</v>
      </c>
    </row>
    <row r="71" spans="1:4" ht="12.75">
      <c r="A71" s="11" t="s">
        <v>34</v>
      </c>
      <c r="D71" s="12">
        <f>(2*2*D5)+(1.2*5*D5)+(1.32*5*D5)</f>
        <v>15081.1</v>
      </c>
    </row>
    <row r="72" spans="1:4" ht="12.75">
      <c r="A72" s="11" t="s">
        <v>35</v>
      </c>
      <c r="D72" s="12">
        <f>(3*2*D5)+(4.1*5*D5)+(4.51*5*D5)</f>
        <v>44561.924999999996</v>
      </c>
    </row>
    <row r="73" spans="1:4" ht="12.75">
      <c r="A73" s="11" t="s">
        <v>36</v>
      </c>
      <c r="D73" s="12">
        <f>(0.24*7*D5)+(0.22*0*D5)+(0.26*5*D5)</f>
        <v>2707.33</v>
      </c>
    </row>
    <row r="74" spans="1:4" ht="12.75">
      <c r="A74" s="11" t="s">
        <v>79</v>
      </c>
      <c r="D74" s="12">
        <f>(0.77*2*D5)+(3.2*5*D5)+(3.52*5*D5)</f>
        <v>31924.690000000002</v>
      </c>
    </row>
    <row r="75" spans="1:4" ht="12.75">
      <c r="A75" s="11" t="s">
        <v>37</v>
      </c>
      <c r="D75" s="12">
        <f>2.25*12*D6</f>
        <v>594</v>
      </c>
    </row>
    <row r="76" spans="1:4" ht="12.75">
      <c r="A76" s="11" t="s">
        <v>38</v>
      </c>
      <c r="D76" s="12">
        <v>9230</v>
      </c>
    </row>
    <row r="77" spans="1:4" ht="12.75">
      <c r="A77" s="11" t="s">
        <v>39</v>
      </c>
      <c r="D77" s="12">
        <f>(1.76*2*D5)+(0.47*5*D5)+(0.52*5*D5)</f>
        <v>7694.994999999999</v>
      </c>
    </row>
    <row r="78" spans="1:4" ht="12.75">
      <c r="A78" s="15"/>
      <c r="D78" s="12"/>
    </row>
    <row r="79" spans="1:4" ht="12.75">
      <c r="A79" s="11"/>
      <c r="D79" s="12"/>
    </row>
    <row r="80" spans="1:7" ht="12.75">
      <c r="A80" s="11" t="s">
        <v>40</v>
      </c>
      <c r="D80" s="12">
        <f>D63+D66+D67+D68+D69+D70+D71+D72+D73+D74+D75+D76+D77+D78</f>
        <v>158954.275</v>
      </c>
      <c r="G80" s="17"/>
    </row>
    <row r="81" spans="1:4" ht="12.75">
      <c r="A81" s="11"/>
      <c r="D81" s="12"/>
    </row>
    <row r="82" spans="1:4" ht="12.75">
      <c r="A82" t="s">
        <v>68</v>
      </c>
      <c r="D82" s="12">
        <f>C59-D80</f>
        <v>38519.715</v>
      </c>
    </row>
    <row r="84" ht="12.75">
      <c r="A8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3:G101"/>
  <sheetViews>
    <sheetView zoomScalePageLayoutView="0" workbookViewId="0" topLeftCell="A10">
      <selection activeCell="G65" sqref="G65:J78"/>
    </sheetView>
  </sheetViews>
  <sheetFormatPr defaultColWidth="9.140625" defaultRowHeight="12.75"/>
  <cols>
    <col min="1" max="1" width="16.28125" style="0" customWidth="1"/>
    <col min="2" max="2" width="15.140625" style="0" customWidth="1"/>
    <col min="3" max="3" width="14.00390625" style="0" customWidth="1"/>
    <col min="4" max="4" width="15.140625" style="0" customWidth="1"/>
  </cols>
  <sheetData>
    <row r="3" spans="1:7" ht="12.75">
      <c r="A3" s="1" t="s">
        <v>0</v>
      </c>
      <c r="B3" s="2" t="s">
        <v>1</v>
      </c>
      <c r="C3" s="1" t="s">
        <v>45</v>
      </c>
      <c r="D3" s="1"/>
      <c r="E3" s="1" t="s">
        <v>2</v>
      </c>
      <c r="F3" s="3" t="s">
        <v>47</v>
      </c>
      <c r="G3">
        <v>2015</v>
      </c>
    </row>
    <row r="5" spans="1:5" ht="12.75">
      <c r="A5" t="s">
        <v>3</v>
      </c>
      <c r="D5" s="4">
        <v>2982.9</v>
      </c>
      <c r="E5" s="5" t="s">
        <v>41</v>
      </c>
    </row>
    <row r="6" spans="1:5" ht="12.75">
      <c r="A6" t="s">
        <v>4</v>
      </c>
      <c r="D6" s="4">
        <v>136</v>
      </c>
      <c r="E6" s="5"/>
    </row>
    <row r="7" spans="1:5" ht="12.75">
      <c r="A7" t="s">
        <v>5</v>
      </c>
      <c r="D7" s="4">
        <v>280</v>
      </c>
      <c r="E7" s="5" t="s">
        <v>6</v>
      </c>
    </row>
    <row r="8" spans="1:5" ht="12.75">
      <c r="A8" t="s">
        <v>7</v>
      </c>
      <c r="D8" s="4">
        <v>172</v>
      </c>
      <c r="E8" s="5" t="s">
        <v>41</v>
      </c>
    </row>
    <row r="9" spans="1:5" ht="12.75">
      <c r="A9" t="s">
        <v>8</v>
      </c>
      <c r="D9" s="4">
        <v>161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611832.4599999998</v>
      </c>
      <c r="C13" s="8">
        <f>SUM(C14:C25)</f>
        <v>574864.35</v>
      </c>
      <c r="D13" s="8">
        <f>SUM(D14:D25)</f>
        <v>36968.109999999986</v>
      </c>
    </row>
    <row r="14" spans="1:4" ht="12.75" hidden="1">
      <c r="A14" s="9" t="s">
        <v>25</v>
      </c>
      <c r="B14" s="8">
        <v>48947.78</v>
      </c>
      <c r="C14" s="8">
        <v>47900.24</v>
      </c>
      <c r="D14" s="8">
        <f aca="true" t="shared" si="0" ref="D14:D25">B14-C14</f>
        <v>1047.5400000000009</v>
      </c>
    </row>
    <row r="15" spans="1:4" ht="12.75" hidden="1">
      <c r="A15" s="9" t="s">
        <v>13</v>
      </c>
      <c r="B15" s="8">
        <v>48947.78</v>
      </c>
      <c r="C15" s="13">
        <v>42850.21</v>
      </c>
      <c r="D15" s="8">
        <f t="shared" si="0"/>
        <v>6097.57</v>
      </c>
    </row>
    <row r="16" spans="1:4" ht="12.75" hidden="1">
      <c r="A16" s="9" t="s">
        <v>14</v>
      </c>
      <c r="B16" s="8">
        <v>48947.78</v>
      </c>
      <c r="C16" s="13">
        <v>49607.71</v>
      </c>
      <c r="D16" s="8">
        <f t="shared" si="0"/>
        <v>-659.9300000000003</v>
      </c>
    </row>
    <row r="17" spans="1:4" ht="12.75" hidden="1">
      <c r="A17" s="9" t="s">
        <v>15</v>
      </c>
      <c r="B17" s="8">
        <v>48947.78</v>
      </c>
      <c r="C17" s="13">
        <v>43578.46</v>
      </c>
      <c r="D17" s="8">
        <f t="shared" si="0"/>
        <v>5369.32</v>
      </c>
    </row>
    <row r="18" spans="1:4" ht="12.75" hidden="1">
      <c r="A18" s="9" t="s">
        <v>16</v>
      </c>
      <c r="B18" s="8">
        <v>48947.78</v>
      </c>
      <c r="C18" s="13">
        <v>47289.54</v>
      </c>
      <c r="D18" s="8">
        <f t="shared" si="0"/>
        <v>1658.239999999998</v>
      </c>
    </row>
    <row r="19" spans="1:4" ht="12.75" hidden="1">
      <c r="A19" s="9" t="s">
        <v>17</v>
      </c>
      <c r="B19" s="8">
        <v>48947.78</v>
      </c>
      <c r="C19" s="13">
        <v>41275.41</v>
      </c>
      <c r="D19" s="8">
        <f t="shared" si="0"/>
        <v>7672.369999999995</v>
      </c>
    </row>
    <row r="20" spans="1:4" ht="12.75" hidden="1">
      <c r="A20" s="9" t="s">
        <v>18</v>
      </c>
      <c r="B20" s="8">
        <v>48947.78</v>
      </c>
      <c r="C20" s="13">
        <v>42965.57</v>
      </c>
      <c r="D20" s="8">
        <f t="shared" si="0"/>
        <v>5982.209999999999</v>
      </c>
    </row>
    <row r="21" spans="1:4" ht="12.75" hidden="1">
      <c r="A21" s="9" t="s">
        <v>19</v>
      </c>
      <c r="B21" s="13">
        <v>53839.6</v>
      </c>
      <c r="C21" s="13">
        <v>49951.08</v>
      </c>
      <c r="D21" s="8">
        <f t="shared" si="0"/>
        <v>3888.519999999997</v>
      </c>
    </row>
    <row r="22" spans="1:4" ht="12.75" hidden="1">
      <c r="A22" s="9" t="s">
        <v>20</v>
      </c>
      <c r="B22" s="13">
        <v>53839.6</v>
      </c>
      <c r="C22" s="13">
        <v>52509.03</v>
      </c>
      <c r="D22" s="8">
        <f t="shared" si="0"/>
        <v>1330.5699999999997</v>
      </c>
    </row>
    <row r="23" spans="1:4" ht="12.75" hidden="1">
      <c r="A23" s="9" t="s">
        <v>21</v>
      </c>
      <c r="B23" s="13">
        <v>53839.6</v>
      </c>
      <c r="C23" s="13">
        <v>51358.01</v>
      </c>
      <c r="D23" s="13">
        <f t="shared" si="0"/>
        <v>2481.5899999999965</v>
      </c>
    </row>
    <row r="24" spans="1:4" ht="12.75" hidden="1">
      <c r="A24" s="9" t="s">
        <v>22</v>
      </c>
      <c r="B24" s="13">
        <v>53839.6</v>
      </c>
      <c r="C24" s="13">
        <v>57032.95</v>
      </c>
      <c r="D24" s="13">
        <f t="shared" si="0"/>
        <v>-3193.3499999999985</v>
      </c>
    </row>
    <row r="25" spans="1:4" ht="12.75" hidden="1">
      <c r="A25" s="9" t="s">
        <v>23</v>
      </c>
      <c r="B25" s="13">
        <v>53839.6</v>
      </c>
      <c r="C25" s="13">
        <v>48546.14</v>
      </c>
      <c r="D25" s="13">
        <f t="shared" si="0"/>
        <v>5293.459999999999</v>
      </c>
    </row>
    <row r="26" spans="1:4" ht="12.75">
      <c r="A26" s="7" t="s">
        <v>24</v>
      </c>
      <c r="B26" s="8">
        <f>SUM(B27:B38)</f>
        <v>888.7599999999998</v>
      </c>
      <c r="C26" s="8">
        <f>SUM(C27:C38)</f>
        <v>861.53</v>
      </c>
      <c r="D26" s="8">
        <f>SUM(D27:D38)</f>
        <v>27.229999999999997</v>
      </c>
    </row>
    <row r="27" spans="1:4" ht="12.75" hidden="1">
      <c r="A27" s="9" t="s">
        <v>25</v>
      </c>
      <c r="B27" s="8">
        <v>76.02</v>
      </c>
      <c r="C27" s="8">
        <v>64.19</v>
      </c>
      <c r="D27" s="8">
        <f aca="true" t="shared" si="1" ref="D27:D38">B27-C27</f>
        <v>11.829999999999998</v>
      </c>
    </row>
    <row r="28" spans="1:4" ht="12.75" hidden="1">
      <c r="A28" s="9" t="s">
        <v>13</v>
      </c>
      <c r="B28" s="8">
        <v>76.02</v>
      </c>
      <c r="C28" s="13">
        <v>50.34</v>
      </c>
      <c r="D28" s="8">
        <f t="shared" si="1"/>
        <v>25.679999999999993</v>
      </c>
    </row>
    <row r="29" spans="1:4" ht="12.75" hidden="1">
      <c r="A29" s="9" t="s">
        <v>14</v>
      </c>
      <c r="B29" s="8">
        <v>76.02</v>
      </c>
      <c r="C29" s="13">
        <v>77.07</v>
      </c>
      <c r="D29" s="8">
        <f t="shared" si="1"/>
        <v>-1.0499999999999972</v>
      </c>
    </row>
    <row r="30" spans="1:4" ht="12.75" hidden="1">
      <c r="A30" s="9" t="s">
        <v>15</v>
      </c>
      <c r="B30" s="8">
        <v>74.46</v>
      </c>
      <c r="C30" s="13">
        <v>90.49</v>
      </c>
      <c r="D30" s="8">
        <f t="shared" si="1"/>
        <v>-16.03</v>
      </c>
    </row>
    <row r="31" spans="1:4" ht="12.75" hidden="1">
      <c r="A31" s="9" t="s">
        <v>16</v>
      </c>
      <c r="B31" s="8">
        <v>73.28</v>
      </c>
      <c r="C31" s="13">
        <v>80.76</v>
      </c>
      <c r="D31" s="8">
        <f t="shared" si="1"/>
        <v>-7.480000000000004</v>
      </c>
    </row>
    <row r="32" spans="1:4" ht="12.75" hidden="1">
      <c r="A32" s="9" t="s">
        <v>17</v>
      </c>
      <c r="B32" s="8">
        <v>73.28</v>
      </c>
      <c r="C32" s="13">
        <v>62.55</v>
      </c>
      <c r="D32" s="8">
        <f t="shared" si="1"/>
        <v>10.730000000000004</v>
      </c>
    </row>
    <row r="33" spans="1:4" ht="12.75" hidden="1">
      <c r="A33" s="9" t="s">
        <v>18</v>
      </c>
      <c r="B33" s="8">
        <v>73.28</v>
      </c>
      <c r="C33" s="13">
        <v>51.6</v>
      </c>
      <c r="D33" s="8">
        <f t="shared" si="1"/>
        <v>21.68</v>
      </c>
    </row>
    <row r="34" spans="1:4" ht="12.75" hidden="1">
      <c r="A34" s="9" t="s">
        <v>19</v>
      </c>
      <c r="B34" s="8">
        <v>73.28</v>
      </c>
      <c r="C34" s="13">
        <v>80.58</v>
      </c>
      <c r="D34" s="8">
        <f t="shared" si="1"/>
        <v>-7.299999999999997</v>
      </c>
    </row>
    <row r="35" spans="1:4" ht="12.75" hidden="1">
      <c r="A35" s="9" t="s">
        <v>20</v>
      </c>
      <c r="B35" s="8">
        <v>73.28</v>
      </c>
      <c r="C35" s="13">
        <v>78.49</v>
      </c>
      <c r="D35" s="8">
        <f t="shared" si="1"/>
        <v>-5.209999999999994</v>
      </c>
    </row>
    <row r="36" spans="1:4" ht="12.75" hidden="1">
      <c r="A36" s="9" t="s">
        <v>21</v>
      </c>
      <c r="B36" s="8">
        <v>73.28</v>
      </c>
      <c r="C36" s="13">
        <v>65.17</v>
      </c>
      <c r="D36" s="13">
        <f t="shared" si="1"/>
        <v>8.11</v>
      </c>
    </row>
    <row r="37" spans="1:4" ht="12.75" hidden="1">
      <c r="A37" s="9" t="s">
        <v>22</v>
      </c>
      <c r="B37" s="8">
        <v>73.28</v>
      </c>
      <c r="C37" s="13">
        <v>91.11</v>
      </c>
      <c r="D37" s="13">
        <f t="shared" si="1"/>
        <v>-17.83</v>
      </c>
    </row>
    <row r="38" spans="1:4" ht="12.75" hidden="1">
      <c r="A38" s="9" t="s">
        <v>23</v>
      </c>
      <c r="B38" s="8">
        <v>73.28</v>
      </c>
      <c r="C38" s="13">
        <v>69.18</v>
      </c>
      <c r="D38" s="13">
        <f t="shared" si="1"/>
        <v>4.099999999999994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147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18</v>
      </c>
      <c r="B43" s="8"/>
      <c r="C43" s="8"/>
      <c r="D43" s="8">
        <f>B43-C43</f>
        <v>0</v>
      </c>
    </row>
    <row r="44" spans="1:4" ht="12.75" hidden="1">
      <c r="A44" s="9" t="s">
        <v>19</v>
      </c>
      <c r="B44" s="13"/>
      <c r="C44" s="13"/>
      <c r="D44" s="8">
        <f>B44-C44</f>
        <v>0</v>
      </c>
    </row>
    <row r="45" spans="1:4" ht="12.75" hidden="1">
      <c r="A45" s="9" t="s">
        <v>20</v>
      </c>
      <c r="B45" s="13"/>
      <c r="C45" s="13"/>
      <c r="D45" s="13">
        <f>B45-C45</f>
        <v>0</v>
      </c>
    </row>
    <row r="46" spans="1:4" ht="12.75" hidden="1">
      <c r="A46" s="9" t="s">
        <v>21</v>
      </c>
      <c r="B46" s="13"/>
      <c r="C46" s="13"/>
      <c r="D46" s="13">
        <f>B46-C46</f>
        <v>0</v>
      </c>
    </row>
    <row r="47" spans="1:4" ht="12.75" hidden="1">
      <c r="A47" s="9" t="s">
        <v>22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612721.2199999999</v>
      </c>
      <c r="C48" s="8">
        <f>C13+C26</f>
        <v>575725.88</v>
      </c>
      <c r="D48" s="8">
        <f>D13+D26</f>
        <v>36995.33999999999</v>
      </c>
    </row>
    <row r="50" spans="1:4" ht="12.75">
      <c r="A50" t="s">
        <v>27</v>
      </c>
      <c r="D50" s="12">
        <f>D48</f>
        <v>36995.33999999999</v>
      </c>
    </row>
    <row r="52" spans="1:4" ht="12.75">
      <c r="A52" s="11" t="s">
        <v>28</v>
      </c>
      <c r="D52" s="12">
        <f>D53+D54</f>
        <v>59449.197</v>
      </c>
    </row>
    <row r="53" spans="1:4" ht="12.75" hidden="1">
      <c r="A53" s="11" t="s">
        <v>29</v>
      </c>
      <c r="D53" s="12">
        <f>(2.75*2*D5)+(1.1*5*D5)+(1.21*5*D5)</f>
        <v>50858.445</v>
      </c>
    </row>
    <row r="54" spans="1:4" ht="12.75" hidden="1">
      <c r="A54" s="11" t="s">
        <v>30</v>
      </c>
      <c r="D54" s="12">
        <f>(0.24*12*D5)</f>
        <v>8590.752</v>
      </c>
    </row>
    <row r="55" spans="1:4" ht="12.75">
      <c r="A55" s="11" t="s">
        <v>31</v>
      </c>
      <c r="D55" s="12">
        <f>(0.66*2*D5)</f>
        <v>3937.4280000000003</v>
      </c>
    </row>
    <row r="56" spans="1:4" ht="12.75">
      <c r="A56" s="11" t="s">
        <v>81</v>
      </c>
      <c r="D56" s="12">
        <f>(0.6*2*D5)+(0.55*2*D5)</f>
        <v>6860.67</v>
      </c>
    </row>
    <row r="57" spans="1:4" ht="12.75">
      <c r="A57" s="11" t="s">
        <v>90</v>
      </c>
      <c r="D57" s="12">
        <f>(2.2*7*D5)+(2.42*5*D5)</f>
        <v>82029.75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(0.72*1*D5)+(0.79*2*D5)</f>
        <v>6860.67</v>
      </c>
    </row>
    <row r="60" spans="1:4" ht="12.75">
      <c r="A60" s="11" t="s">
        <v>34</v>
      </c>
      <c r="D60" s="12">
        <f>(3.3*2*D5)+(1.2*5*D5)+(1.32*5*D5)</f>
        <v>57271.68000000001</v>
      </c>
    </row>
    <row r="61" spans="1:4" ht="12.75">
      <c r="A61" s="11" t="s">
        <v>35</v>
      </c>
      <c r="D61" s="12">
        <f>(2.2*2*D5)+(4.1*5*D5)+(4.51*5*D5)</f>
        <v>141538.60499999998</v>
      </c>
    </row>
    <row r="62" spans="1:4" ht="12.75" hidden="1">
      <c r="A62" s="11" t="s">
        <v>36</v>
      </c>
      <c r="D62" s="12">
        <v>0</v>
      </c>
    </row>
    <row r="63" spans="1:4" ht="12.75">
      <c r="A63" s="11" t="s">
        <v>82</v>
      </c>
      <c r="D63" s="12">
        <f>(0.77*2*D5)+(3.2*5*D5)+(3.52*5*D5)</f>
        <v>104819.106</v>
      </c>
    </row>
    <row r="64" spans="1:4" ht="12.75">
      <c r="A64" s="11" t="s">
        <v>37</v>
      </c>
      <c r="D64" s="12">
        <f>2.25*12*D6</f>
        <v>3672</v>
      </c>
    </row>
    <row r="65" spans="1:4" ht="12.75">
      <c r="A65" s="11" t="s">
        <v>38</v>
      </c>
      <c r="D65" s="12">
        <v>59118</v>
      </c>
    </row>
    <row r="66" spans="1:4" ht="12.75">
      <c r="A66" s="11" t="s">
        <v>39</v>
      </c>
      <c r="D66" s="12">
        <f>(1.76*2*D5)+(0.51*5*D5)+(0.57*5*D5)</f>
        <v>26607.468</v>
      </c>
    </row>
    <row r="67" spans="1:4" ht="12.75" hidden="1">
      <c r="A67" s="15" t="s">
        <v>65</v>
      </c>
      <c r="D67" s="12">
        <v>0</v>
      </c>
    </row>
    <row r="68" spans="1:4" ht="12.75">
      <c r="A68" s="11"/>
      <c r="D68" s="12"/>
    </row>
    <row r="69" spans="1:7" ht="12.75">
      <c r="A69" s="11" t="s">
        <v>40</v>
      </c>
      <c r="D69" s="12">
        <f>D52+D55+D56+D57+D58+D59+D60+D61+D62+D63+D64+D65+D66</f>
        <v>552164.574</v>
      </c>
      <c r="G69" s="18"/>
    </row>
    <row r="70" spans="1:7" ht="12.75">
      <c r="A70" s="11"/>
      <c r="D70" s="12"/>
      <c r="G70" s="18"/>
    </row>
    <row r="71" spans="1:7" ht="12.75">
      <c r="A71" t="s">
        <v>68</v>
      </c>
      <c r="D71" s="12">
        <f>C48-D69</f>
        <v>23561.305999999982</v>
      </c>
      <c r="G71" s="18"/>
    </row>
    <row r="72" ht="12.75">
      <c r="G72" s="18"/>
    </row>
    <row r="73" spans="4:7" ht="12.75">
      <c r="D73" s="12"/>
      <c r="G73" s="18"/>
    </row>
    <row r="74" ht="12.75">
      <c r="G74" s="18"/>
    </row>
    <row r="75" ht="12.75">
      <c r="G75" s="18"/>
    </row>
    <row r="76" ht="12.75">
      <c r="G76" s="18"/>
    </row>
    <row r="83" ht="12.75">
      <c r="A83" s="18"/>
    </row>
    <row r="89" ht="12.75" hidden="1"/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83"/>
  <dimension ref="A3:G73"/>
  <sheetViews>
    <sheetView zoomScalePageLayoutView="0" workbookViewId="0" topLeftCell="A1">
      <selection activeCell="L71" sqref="L70:L71"/>
    </sheetView>
  </sheetViews>
  <sheetFormatPr defaultColWidth="9.140625" defaultRowHeight="12.75"/>
  <cols>
    <col min="1" max="1" width="14.140625" style="0" customWidth="1"/>
    <col min="2" max="2" width="14.421875" style="0" customWidth="1"/>
    <col min="3" max="3" width="14.00390625" style="0" customWidth="1"/>
    <col min="4" max="4" width="14.7109375" style="0" customWidth="1"/>
    <col min="5" max="5" width="4.7109375" style="0" customWidth="1"/>
    <col min="6" max="6" width="3.8515625" style="0" customWidth="1"/>
  </cols>
  <sheetData>
    <row r="3" spans="1:7" ht="12.75">
      <c r="A3" s="1" t="s">
        <v>0</v>
      </c>
      <c r="B3" s="2" t="s">
        <v>1</v>
      </c>
      <c r="C3" s="1" t="s">
        <v>66</v>
      </c>
      <c r="D3" s="1"/>
      <c r="E3" s="1" t="s">
        <v>2</v>
      </c>
      <c r="F3" s="3">
        <v>1</v>
      </c>
      <c r="G3">
        <v>2015</v>
      </c>
    </row>
    <row r="5" spans="1:5" ht="12.75">
      <c r="A5" t="s">
        <v>3</v>
      </c>
      <c r="D5" s="4">
        <v>3167.1</v>
      </c>
      <c r="E5" s="5" t="s">
        <v>41</v>
      </c>
    </row>
    <row r="6" spans="1:5" ht="12.75">
      <c r="A6" t="s">
        <v>4</v>
      </c>
      <c r="D6" s="4">
        <v>59</v>
      </c>
      <c r="E6" s="5"/>
    </row>
    <row r="7" spans="1:5" ht="12.75">
      <c r="A7" t="s">
        <v>5</v>
      </c>
      <c r="D7" s="4">
        <v>169</v>
      </c>
      <c r="E7" s="5" t="s">
        <v>6</v>
      </c>
    </row>
    <row r="8" spans="1:5" ht="12.75">
      <c r="A8" t="s">
        <v>7</v>
      </c>
      <c r="D8" s="4">
        <v>435.8</v>
      </c>
      <c r="E8" s="5" t="s">
        <v>41</v>
      </c>
    </row>
    <row r="9" spans="1:5" ht="12.75">
      <c r="A9" t="s">
        <v>8</v>
      </c>
      <c r="D9" s="4">
        <v>1773.9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722035.5899999999</v>
      </c>
      <c r="C13" s="8">
        <f>SUM(C14:C25)</f>
        <v>763282.03</v>
      </c>
      <c r="D13" s="8">
        <f>SUM(D14:D25)</f>
        <v>-41246.44</v>
      </c>
    </row>
    <row r="14" spans="1:4" ht="12.75" hidden="1">
      <c r="A14" s="9" t="s">
        <v>25</v>
      </c>
      <c r="B14" s="8">
        <v>57767.97</v>
      </c>
      <c r="C14" s="8">
        <v>46957.21</v>
      </c>
      <c r="D14" s="8">
        <f aca="true" t="shared" si="0" ref="D14:D25">B14-C14</f>
        <v>10810.760000000002</v>
      </c>
    </row>
    <row r="15" spans="1:4" ht="12.75" hidden="1">
      <c r="A15" s="9" t="s">
        <v>13</v>
      </c>
      <c r="B15" s="8">
        <v>57767.97</v>
      </c>
      <c r="C15" s="13">
        <v>50416.98</v>
      </c>
      <c r="D15" s="8">
        <f t="shared" si="0"/>
        <v>7350.989999999998</v>
      </c>
    </row>
    <row r="16" spans="1:4" ht="12.75" hidden="1">
      <c r="A16" s="9" t="s">
        <v>14</v>
      </c>
      <c r="B16" s="8">
        <v>57767.97</v>
      </c>
      <c r="C16" s="13">
        <v>123742.92</v>
      </c>
      <c r="D16" s="8">
        <f t="shared" si="0"/>
        <v>-65974.95</v>
      </c>
    </row>
    <row r="17" spans="1:4" ht="12.75" hidden="1">
      <c r="A17" s="9" t="s">
        <v>15</v>
      </c>
      <c r="B17" s="8">
        <v>57767.97</v>
      </c>
      <c r="C17" s="13">
        <v>44587.46</v>
      </c>
      <c r="D17" s="8">
        <f t="shared" si="0"/>
        <v>13180.510000000002</v>
      </c>
    </row>
    <row r="18" spans="1:4" ht="12.75" hidden="1">
      <c r="A18" s="9" t="s">
        <v>16</v>
      </c>
      <c r="B18" s="8">
        <v>57767.97</v>
      </c>
      <c r="C18" s="13">
        <v>59605.42</v>
      </c>
      <c r="D18" s="8">
        <f t="shared" si="0"/>
        <v>-1837.449999999997</v>
      </c>
    </row>
    <row r="19" spans="1:4" ht="12.75" hidden="1">
      <c r="A19" s="9" t="s">
        <v>17</v>
      </c>
      <c r="B19" s="8">
        <v>57767.97</v>
      </c>
      <c r="C19" s="13">
        <v>54266.73</v>
      </c>
      <c r="D19" s="8">
        <f t="shared" si="0"/>
        <v>3501.239999999998</v>
      </c>
    </row>
    <row r="20" spans="1:4" ht="12.75" hidden="1">
      <c r="A20" s="9" t="s">
        <v>18</v>
      </c>
      <c r="B20" s="8">
        <v>57767.97</v>
      </c>
      <c r="C20" s="13">
        <v>55315.51</v>
      </c>
      <c r="D20" s="8">
        <f t="shared" si="0"/>
        <v>2452.459999999999</v>
      </c>
    </row>
    <row r="21" spans="1:4" ht="12.75" hidden="1">
      <c r="A21" s="9" t="s">
        <v>19</v>
      </c>
      <c r="B21" s="13">
        <v>63531.96</v>
      </c>
      <c r="C21" s="13">
        <v>51911.68</v>
      </c>
      <c r="D21" s="8">
        <f t="shared" si="0"/>
        <v>11620.279999999999</v>
      </c>
    </row>
    <row r="22" spans="1:4" ht="12.75" hidden="1">
      <c r="A22" s="9" t="s">
        <v>20</v>
      </c>
      <c r="B22" s="13">
        <v>63531.96</v>
      </c>
      <c r="C22" s="13">
        <v>55958.73</v>
      </c>
      <c r="D22" s="8">
        <f t="shared" si="0"/>
        <v>7573.229999999996</v>
      </c>
    </row>
    <row r="23" spans="1:4" ht="12.75" hidden="1">
      <c r="A23" s="9" t="s">
        <v>21</v>
      </c>
      <c r="B23" s="13">
        <v>63531.96</v>
      </c>
      <c r="C23" s="13">
        <v>88560.29</v>
      </c>
      <c r="D23" s="13">
        <f t="shared" si="0"/>
        <v>-25028.329999999994</v>
      </c>
    </row>
    <row r="24" spans="1:4" ht="12.75" hidden="1">
      <c r="A24" s="9" t="s">
        <v>22</v>
      </c>
      <c r="B24" s="13">
        <v>63531.96</v>
      </c>
      <c r="C24" s="13">
        <v>59160.64</v>
      </c>
      <c r="D24" s="13">
        <f t="shared" si="0"/>
        <v>4371.32</v>
      </c>
    </row>
    <row r="25" spans="1:4" ht="12.75" hidden="1">
      <c r="A25" s="9" t="s">
        <v>23</v>
      </c>
      <c r="B25" s="13">
        <v>63531.96</v>
      </c>
      <c r="C25" s="13">
        <v>72798.46</v>
      </c>
      <c r="D25" s="13">
        <f t="shared" si="0"/>
        <v>-9266.500000000007</v>
      </c>
    </row>
    <row r="26" spans="1:4" ht="12.75">
      <c r="A26" s="7" t="s">
        <v>24</v>
      </c>
      <c r="B26" s="8">
        <f>SUM(B27:B38)</f>
        <v>448.08000000000015</v>
      </c>
      <c r="C26" s="8">
        <f>SUM(C27:C38)</f>
        <v>487.51000000000005</v>
      </c>
      <c r="D26" s="8">
        <f>SUM(D27:D38)</f>
        <v>-39.42999999999996</v>
      </c>
    </row>
    <row r="27" spans="1:4" ht="12.75" hidden="1">
      <c r="A27" s="9" t="s">
        <v>25</v>
      </c>
      <c r="B27" s="8">
        <v>37.34</v>
      </c>
      <c r="C27" s="8">
        <v>23.67</v>
      </c>
      <c r="D27" s="8">
        <f aca="true" t="shared" si="1" ref="D27:D35">B27-C27</f>
        <v>13.670000000000002</v>
      </c>
    </row>
    <row r="28" spans="1:4" ht="12.75" hidden="1">
      <c r="A28" s="9" t="s">
        <v>13</v>
      </c>
      <c r="B28" s="8">
        <v>37.34</v>
      </c>
      <c r="C28" s="13">
        <v>15.69</v>
      </c>
      <c r="D28" s="8">
        <f t="shared" si="1"/>
        <v>21.650000000000006</v>
      </c>
    </row>
    <row r="29" spans="1:4" ht="12.75" hidden="1">
      <c r="A29" s="9" t="s">
        <v>14</v>
      </c>
      <c r="B29" s="8">
        <v>37.34</v>
      </c>
      <c r="C29" s="13">
        <v>35.43</v>
      </c>
      <c r="D29" s="8">
        <f t="shared" si="1"/>
        <v>1.9100000000000037</v>
      </c>
    </row>
    <row r="30" spans="1:4" ht="12.75" hidden="1">
      <c r="A30" s="9" t="s">
        <v>15</v>
      </c>
      <c r="B30" s="8">
        <v>37.34</v>
      </c>
      <c r="C30" s="13">
        <v>21.46</v>
      </c>
      <c r="D30" s="8">
        <f t="shared" si="1"/>
        <v>15.880000000000003</v>
      </c>
    </row>
    <row r="31" spans="1:4" ht="12.75" hidden="1">
      <c r="A31" s="9" t="s">
        <v>16</v>
      </c>
      <c r="B31" s="8">
        <v>37.34</v>
      </c>
      <c r="C31" s="13">
        <v>62.76</v>
      </c>
      <c r="D31" s="8">
        <f t="shared" si="1"/>
        <v>-25.419999999999995</v>
      </c>
    </row>
    <row r="32" spans="1:4" ht="12.75" hidden="1">
      <c r="A32" s="9" t="s">
        <v>17</v>
      </c>
      <c r="B32" s="8">
        <v>37.34</v>
      </c>
      <c r="C32" s="13">
        <v>17.97</v>
      </c>
      <c r="D32" s="8">
        <f t="shared" si="1"/>
        <v>19.370000000000005</v>
      </c>
    </row>
    <row r="33" spans="1:4" ht="12.75" hidden="1">
      <c r="A33" s="9" t="s">
        <v>18</v>
      </c>
      <c r="B33" s="8">
        <v>37.34</v>
      </c>
      <c r="C33" s="13">
        <v>36.16</v>
      </c>
      <c r="D33" s="8">
        <f t="shared" si="1"/>
        <v>1.1800000000000068</v>
      </c>
    </row>
    <row r="34" spans="1:4" ht="12.75" hidden="1">
      <c r="A34" s="9" t="s">
        <v>19</v>
      </c>
      <c r="B34" s="8">
        <v>37.34</v>
      </c>
      <c r="C34" s="13">
        <v>32.02</v>
      </c>
      <c r="D34" s="8">
        <f t="shared" si="1"/>
        <v>5.32</v>
      </c>
    </row>
    <row r="35" spans="1:4" ht="12.75" hidden="1">
      <c r="A35" s="9" t="s">
        <v>20</v>
      </c>
      <c r="B35" s="8">
        <v>37.34</v>
      </c>
      <c r="C35" s="13">
        <v>28.08</v>
      </c>
      <c r="D35" s="8">
        <f t="shared" si="1"/>
        <v>9.260000000000005</v>
      </c>
    </row>
    <row r="36" spans="1:4" ht="12.75" hidden="1">
      <c r="A36" s="9" t="s">
        <v>21</v>
      </c>
      <c r="B36" s="8">
        <v>37.34</v>
      </c>
      <c r="C36" s="13">
        <v>133.18</v>
      </c>
      <c r="D36" s="13">
        <f>B36-C36</f>
        <v>-95.84</v>
      </c>
    </row>
    <row r="37" spans="1:4" ht="12.75" hidden="1">
      <c r="A37" s="9" t="s">
        <v>22</v>
      </c>
      <c r="B37" s="8">
        <v>37.34</v>
      </c>
      <c r="C37" s="13">
        <v>25.04</v>
      </c>
      <c r="D37" s="13">
        <f>B37-C37</f>
        <v>12.300000000000004</v>
      </c>
    </row>
    <row r="38" spans="1:4" ht="12.75" hidden="1">
      <c r="A38" s="9" t="s">
        <v>23</v>
      </c>
      <c r="B38" s="8">
        <v>37.34</v>
      </c>
      <c r="C38" s="13">
        <v>56.05</v>
      </c>
      <c r="D38" s="13">
        <f>B38-C38</f>
        <v>-18.709999999999994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B13+B26+B39+B42</f>
        <v>722483.6699999998</v>
      </c>
      <c r="C48" s="8">
        <f>C13+C26+C39+C42</f>
        <v>763769.54</v>
      </c>
      <c r="D48" s="8">
        <f>D13+D26+D39+D42</f>
        <v>-41285.87</v>
      </c>
    </row>
    <row r="50" spans="1:4" ht="12.75">
      <c r="A50" t="s">
        <v>27</v>
      </c>
      <c r="D50" s="12">
        <f>D48</f>
        <v>-41285.87</v>
      </c>
    </row>
    <row r="52" spans="1:4" ht="12.75">
      <c r="A52" s="11" t="s">
        <v>28</v>
      </c>
      <c r="D52" s="12">
        <f>D53+D54</f>
        <v>63120.30299999999</v>
      </c>
    </row>
    <row r="53" spans="1:4" ht="12.75" hidden="1">
      <c r="A53" s="11" t="s">
        <v>29</v>
      </c>
      <c r="D53" s="12">
        <f>(2.75*2*D5)+(1.1*5*D5)+(1.21*5*D5)</f>
        <v>53999.05499999999</v>
      </c>
    </row>
    <row r="54" spans="1:4" ht="12.75" hidden="1">
      <c r="A54" s="11" t="s">
        <v>30</v>
      </c>
      <c r="D54" s="12">
        <f>(0.24*12*D5)</f>
        <v>9121.248</v>
      </c>
    </row>
    <row r="55" spans="1:4" ht="12.75">
      <c r="A55" s="11" t="s">
        <v>31</v>
      </c>
      <c r="D55" s="12">
        <f>(0.66*2*D5)</f>
        <v>4180.572</v>
      </c>
    </row>
    <row r="56" spans="1:4" ht="12.75">
      <c r="A56" s="11" t="s">
        <v>81</v>
      </c>
      <c r="D56" s="12">
        <f>(0.5*2*D5)+(0.55*5*D5)</f>
        <v>11876.625</v>
      </c>
    </row>
    <row r="57" spans="1:4" ht="12.75">
      <c r="A57" s="11" t="s">
        <v>90</v>
      </c>
      <c r="D57" s="12">
        <f>(2.2*7*D5)+(2.42*5*D5)</f>
        <v>87095.25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4560.624</v>
      </c>
    </row>
    <row r="60" spans="1:4" ht="12.75">
      <c r="A60" s="11" t="s">
        <v>34</v>
      </c>
      <c r="D60" s="12">
        <f>(3.3*2*D5)+(1.2*5*D5)+(1.32*5*D5)</f>
        <v>60808.31999999999</v>
      </c>
    </row>
    <row r="61" spans="1:4" ht="12.75">
      <c r="A61" s="11" t="s">
        <v>35</v>
      </c>
      <c r="D61" s="12">
        <f>(2.2*2*D5)+(4.1*5*D5)+(4.51*5*D5)</f>
        <v>150278.895</v>
      </c>
    </row>
    <row r="62" spans="1:4" ht="12.75">
      <c r="A62" s="11" t="s">
        <v>36</v>
      </c>
      <c r="D62" s="12">
        <f>(0.24*7*D5)+(0.26*5*D5)</f>
        <v>9437.958</v>
      </c>
    </row>
    <row r="63" spans="1:4" ht="12.75">
      <c r="A63" s="11" t="s">
        <v>82</v>
      </c>
      <c r="D63" s="12">
        <f>(0.77*2*D5)+(3.2*5*D5)+(3.52*5*D5)</f>
        <v>111291.894</v>
      </c>
    </row>
    <row r="64" spans="1:4" ht="12.75">
      <c r="A64" s="11" t="s">
        <v>37</v>
      </c>
      <c r="D64" s="12">
        <f>2.25*12*D5</f>
        <v>85511.7</v>
      </c>
    </row>
    <row r="65" spans="1:7" ht="12.75">
      <c r="A65" s="11" t="s">
        <v>38</v>
      </c>
      <c r="D65" s="12">
        <v>4762</v>
      </c>
      <c r="G65" s="17"/>
    </row>
    <row r="66" spans="1:7" ht="12.75">
      <c r="A66" s="11" t="s">
        <v>39</v>
      </c>
      <c r="D66" s="12">
        <f>(1.76*2*D5)+(0.75*5*D5)+(0.83*5*D5)</f>
        <v>36168.282</v>
      </c>
      <c r="G66" s="17"/>
    </row>
    <row r="67" spans="1:7" ht="12.75" hidden="1">
      <c r="A67" s="15" t="s">
        <v>65</v>
      </c>
      <c r="D67" s="12">
        <v>0</v>
      </c>
      <c r="G67" s="17"/>
    </row>
    <row r="68" spans="1:7" ht="12.75">
      <c r="A68" s="11"/>
      <c r="D68" s="12"/>
      <c r="G68" s="18"/>
    </row>
    <row r="69" spans="1:7" ht="12.75">
      <c r="A69" s="11" t="s">
        <v>40</v>
      </c>
      <c r="D69" s="12">
        <f>D52+D55+D56+D57+D58+D59+D60+D61+D62+D63+D64+D65+D66+D67</f>
        <v>629092.423</v>
      </c>
      <c r="G69" s="18"/>
    </row>
    <row r="70" spans="1:7" ht="12.75">
      <c r="A70" s="11"/>
      <c r="D70" s="12"/>
      <c r="G70" s="18"/>
    </row>
    <row r="71" spans="1:7" ht="12.75">
      <c r="A71" t="s">
        <v>72</v>
      </c>
      <c r="D71" s="12">
        <f>C48-D69</f>
        <v>134677.1170000001</v>
      </c>
      <c r="G71" s="18"/>
    </row>
    <row r="73" ht="12.75">
      <c r="A7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84"/>
  <dimension ref="A3:G86"/>
  <sheetViews>
    <sheetView zoomScalePageLayoutView="0" workbookViewId="0" topLeftCell="A1">
      <selection activeCell="H56" sqref="H56"/>
    </sheetView>
  </sheetViews>
  <sheetFormatPr defaultColWidth="9.140625" defaultRowHeight="12.75"/>
  <cols>
    <col min="1" max="1" width="17.57421875" style="0" customWidth="1"/>
    <col min="2" max="2" width="16.57421875" style="0" customWidth="1"/>
    <col min="3" max="3" width="18.140625" style="0" customWidth="1"/>
    <col min="4" max="4" width="13.421875" style="0" customWidth="1"/>
    <col min="5" max="16384" width="8.28125" style="0" customWidth="1"/>
  </cols>
  <sheetData>
    <row r="3" spans="1:7" ht="12.75">
      <c r="A3" s="1" t="s">
        <v>0</v>
      </c>
      <c r="B3" s="2" t="s">
        <v>1</v>
      </c>
      <c r="C3" s="1" t="s">
        <v>66</v>
      </c>
      <c r="D3" s="1"/>
      <c r="E3" s="1" t="s">
        <v>2</v>
      </c>
      <c r="F3" s="3">
        <v>2</v>
      </c>
      <c r="G3">
        <v>2015</v>
      </c>
    </row>
    <row r="5" spans="1:5" ht="12.75">
      <c r="A5" t="s">
        <v>3</v>
      </c>
      <c r="D5" s="4">
        <v>3143.7</v>
      </c>
      <c r="E5" s="5" t="s">
        <v>41</v>
      </c>
    </row>
    <row r="6" spans="1:5" ht="12.75">
      <c r="A6" t="s">
        <v>4</v>
      </c>
      <c r="D6" s="4">
        <v>61</v>
      </c>
      <c r="E6" s="5"/>
    </row>
    <row r="7" spans="1:5" ht="12.75">
      <c r="A7" t="s">
        <v>5</v>
      </c>
      <c r="D7" s="4">
        <v>131</v>
      </c>
      <c r="E7" s="5" t="s">
        <v>6</v>
      </c>
    </row>
    <row r="8" spans="1:5" ht="12.75">
      <c r="A8" t="s">
        <v>7</v>
      </c>
      <c r="D8" s="4">
        <v>382.6</v>
      </c>
      <c r="E8" s="5" t="s">
        <v>41</v>
      </c>
    </row>
    <row r="9" spans="1:5" ht="12.75">
      <c r="A9" t="s">
        <v>8</v>
      </c>
      <c r="D9" s="4">
        <v>2315.9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716928.55</v>
      </c>
      <c r="C13" s="8">
        <f>SUM(C14:C25)</f>
        <v>735070.5099999999</v>
      </c>
      <c r="D13" s="8">
        <f>SUM(D14:D25)</f>
        <v>-18141.959999999985</v>
      </c>
    </row>
    <row r="14" spans="1:4" ht="12.75" hidden="1">
      <c r="A14" s="9" t="s">
        <v>25</v>
      </c>
      <c r="B14" s="8">
        <v>57359.25</v>
      </c>
      <c r="C14" s="8">
        <v>40160.92</v>
      </c>
      <c r="D14" s="8">
        <f aca="true" t="shared" si="0" ref="D14:D25">B14-C14</f>
        <v>17198.33</v>
      </c>
    </row>
    <row r="15" spans="1:4" ht="12.75" hidden="1">
      <c r="A15" s="9" t="s">
        <v>13</v>
      </c>
      <c r="B15" s="8">
        <v>57359.25</v>
      </c>
      <c r="C15" s="13">
        <v>42288.13</v>
      </c>
      <c r="D15" s="8">
        <f t="shared" si="0"/>
        <v>15071.120000000003</v>
      </c>
    </row>
    <row r="16" spans="1:4" ht="12.75" hidden="1">
      <c r="A16" s="9" t="s">
        <v>14</v>
      </c>
      <c r="B16" s="8">
        <v>57359.25</v>
      </c>
      <c r="C16" s="13">
        <v>137037.06</v>
      </c>
      <c r="D16" s="8">
        <f t="shared" si="0"/>
        <v>-79677.81</v>
      </c>
    </row>
    <row r="17" spans="1:4" ht="12.75" hidden="1">
      <c r="A17" s="9" t="s">
        <v>15</v>
      </c>
      <c r="B17" s="8">
        <v>57359.25</v>
      </c>
      <c r="C17" s="13">
        <v>33787.84</v>
      </c>
      <c r="D17" s="8">
        <f t="shared" si="0"/>
        <v>23571.410000000003</v>
      </c>
    </row>
    <row r="18" spans="1:4" ht="12.75" hidden="1">
      <c r="A18" s="9" t="s">
        <v>16</v>
      </c>
      <c r="B18" s="8">
        <v>57359.25</v>
      </c>
      <c r="C18" s="13">
        <v>45862.4</v>
      </c>
      <c r="D18" s="8">
        <f t="shared" si="0"/>
        <v>11496.849999999999</v>
      </c>
    </row>
    <row r="19" spans="1:4" ht="12.75" hidden="1">
      <c r="A19" s="9" t="s">
        <v>17</v>
      </c>
      <c r="B19" s="8">
        <v>57359.25</v>
      </c>
      <c r="C19" s="13">
        <v>89979.41</v>
      </c>
      <c r="D19" s="8">
        <f t="shared" si="0"/>
        <v>-32620.160000000003</v>
      </c>
    </row>
    <row r="20" spans="1:4" ht="12.75" hidden="1">
      <c r="A20" s="9" t="s">
        <v>18</v>
      </c>
      <c r="B20" s="8">
        <v>57359.25</v>
      </c>
      <c r="C20" s="13">
        <v>47211.81</v>
      </c>
      <c r="D20" s="8">
        <f t="shared" si="0"/>
        <v>10147.440000000002</v>
      </c>
    </row>
    <row r="21" spans="1:4" ht="12.75" hidden="1">
      <c r="A21" s="9" t="s">
        <v>19</v>
      </c>
      <c r="B21" s="13">
        <v>63082.76</v>
      </c>
      <c r="C21" s="13">
        <v>58402.04</v>
      </c>
      <c r="D21" s="8">
        <f t="shared" si="0"/>
        <v>4680.720000000001</v>
      </c>
    </row>
    <row r="22" spans="1:4" ht="12.75" hidden="1">
      <c r="A22" s="9" t="s">
        <v>20</v>
      </c>
      <c r="B22" s="13">
        <v>63082.76</v>
      </c>
      <c r="C22" s="13">
        <v>49044.88</v>
      </c>
      <c r="D22" s="8">
        <f t="shared" si="0"/>
        <v>14037.880000000005</v>
      </c>
    </row>
    <row r="23" spans="1:4" ht="12.75" hidden="1">
      <c r="A23" s="9" t="s">
        <v>21</v>
      </c>
      <c r="B23" s="13">
        <v>63082.76</v>
      </c>
      <c r="C23" s="13">
        <v>83101.1</v>
      </c>
      <c r="D23" s="13">
        <f t="shared" si="0"/>
        <v>-20018.340000000004</v>
      </c>
    </row>
    <row r="24" spans="1:4" ht="12.75" hidden="1">
      <c r="A24" s="9" t="s">
        <v>22</v>
      </c>
      <c r="B24" s="13">
        <v>63082.76</v>
      </c>
      <c r="C24" s="13">
        <v>55080.1</v>
      </c>
      <c r="D24" s="13">
        <f t="shared" si="0"/>
        <v>8002.6600000000035</v>
      </c>
    </row>
    <row r="25" spans="1:4" ht="12.75" hidden="1">
      <c r="A25" s="9" t="s">
        <v>23</v>
      </c>
      <c r="B25" s="13">
        <v>63082.76</v>
      </c>
      <c r="C25" s="13">
        <v>53114.82</v>
      </c>
      <c r="D25" s="13">
        <f t="shared" si="0"/>
        <v>9967.940000000002</v>
      </c>
    </row>
    <row r="26" spans="1:4" ht="12.75">
      <c r="A26" s="7" t="s">
        <v>24</v>
      </c>
      <c r="B26" s="8">
        <f>SUM(B27:B38)</f>
        <v>358.56</v>
      </c>
      <c r="C26" s="8">
        <f>SUM(C27:C38)</f>
        <v>339.88999999999993</v>
      </c>
      <c r="D26" s="8">
        <f>SUM(D27:D38)</f>
        <v>18.67</v>
      </c>
    </row>
    <row r="27" spans="1:4" ht="12.75" hidden="1">
      <c r="A27" s="9" t="s">
        <v>25</v>
      </c>
      <c r="B27" s="8">
        <v>29.88</v>
      </c>
      <c r="C27" s="8">
        <v>4.92</v>
      </c>
      <c r="D27" s="8">
        <f aca="true" t="shared" si="1" ref="D27:D38">B27-C27</f>
        <v>24.96</v>
      </c>
    </row>
    <row r="28" spans="1:4" ht="12.75" hidden="1">
      <c r="A28" s="9" t="s">
        <v>13</v>
      </c>
      <c r="B28" s="8">
        <v>29.88</v>
      </c>
      <c r="C28" s="13">
        <v>3.57</v>
      </c>
      <c r="D28" s="8">
        <f t="shared" si="1"/>
        <v>26.31</v>
      </c>
    </row>
    <row r="29" spans="1:4" ht="12.75" hidden="1">
      <c r="A29" s="9" t="s">
        <v>14</v>
      </c>
      <c r="B29" s="8">
        <v>29.88</v>
      </c>
      <c r="C29" s="13">
        <v>16.46</v>
      </c>
      <c r="D29" s="8">
        <f t="shared" si="1"/>
        <v>13.419999999999998</v>
      </c>
    </row>
    <row r="30" spans="1:4" ht="12.75" hidden="1">
      <c r="A30" s="9" t="s">
        <v>15</v>
      </c>
      <c r="B30" s="8">
        <v>29.88</v>
      </c>
      <c r="C30" s="13">
        <v>25.19</v>
      </c>
      <c r="D30" s="8">
        <f t="shared" si="1"/>
        <v>4.689999999999998</v>
      </c>
    </row>
    <row r="31" spans="1:4" ht="12.75" hidden="1">
      <c r="A31" s="9" t="s">
        <v>16</v>
      </c>
      <c r="B31" s="8">
        <v>29.88</v>
      </c>
      <c r="C31" s="13">
        <v>5.92</v>
      </c>
      <c r="D31" s="8">
        <f t="shared" si="1"/>
        <v>23.96</v>
      </c>
    </row>
    <row r="32" spans="1:4" ht="12.75" hidden="1">
      <c r="A32" s="9" t="s">
        <v>17</v>
      </c>
      <c r="B32" s="8">
        <v>29.88</v>
      </c>
      <c r="C32" s="13">
        <v>152.63</v>
      </c>
      <c r="D32" s="8">
        <f t="shared" si="1"/>
        <v>-122.75</v>
      </c>
    </row>
    <row r="33" spans="1:4" ht="12.75" hidden="1">
      <c r="A33" s="9" t="s">
        <v>18</v>
      </c>
      <c r="B33" s="8">
        <v>29.88</v>
      </c>
      <c r="C33" s="13">
        <v>5.92</v>
      </c>
      <c r="D33" s="8">
        <f t="shared" si="1"/>
        <v>23.96</v>
      </c>
    </row>
    <row r="34" spans="1:4" ht="12.75" hidden="1">
      <c r="A34" s="9" t="s">
        <v>19</v>
      </c>
      <c r="B34" s="8">
        <v>29.88</v>
      </c>
      <c r="C34" s="13">
        <v>38.16</v>
      </c>
      <c r="D34" s="8">
        <f t="shared" si="1"/>
        <v>-8.279999999999998</v>
      </c>
    </row>
    <row r="35" spans="1:4" ht="12.75" hidden="1">
      <c r="A35" s="9" t="s">
        <v>20</v>
      </c>
      <c r="B35" s="8">
        <v>29.88</v>
      </c>
      <c r="C35" s="13">
        <v>13.14</v>
      </c>
      <c r="D35" s="8">
        <f t="shared" si="1"/>
        <v>16.74</v>
      </c>
    </row>
    <row r="36" spans="1:4" ht="12.75" hidden="1">
      <c r="A36" s="9" t="s">
        <v>21</v>
      </c>
      <c r="B36" s="8">
        <v>29.88</v>
      </c>
      <c r="C36" s="13">
        <v>49.28</v>
      </c>
      <c r="D36" s="13">
        <f t="shared" si="1"/>
        <v>-19.400000000000002</v>
      </c>
    </row>
    <row r="37" spans="1:4" ht="12.75" hidden="1">
      <c r="A37" s="9" t="s">
        <v>22</v>
      </c>
      <c r="B37" s="8">
        <v>29.88</v>
      </c>
      <c r="C37" s="13">
        <v>16.34</v>
      </c>
      <c r="D37" s="13">
        <f t="shared" si="1"/>
        <v>13.54</v>
      </c>
    </row>
    <row r="38" spans="1:4" ht="12.75" hidden="1">
      <c r="A38" s="9" t="s">
        <v>23</v>
      </c>
      <c r="B38" s="8">
        <v>29.88</v>
      </c>
      <c r="C38" s="13">
        <v>8.36</v>
      </c>
      <c r="D38" s="13">
        <f t="shared" si="1"/>
        <v>21.52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B13+B26+B39+B42</f>
        <v>717287.1100000001</v>
      </c>
      <c r="C48" s="8">
        <f>C13+C26+C39+C42</f>
        <v>735410.3999999999</v>
      </c>
      <c r="D48" s="8">
        <f>D13+D26+D39+D42</f>
        <v>-18123.289999999986</v>
      </c>
    </row>
    <row r="50" spans="1:4" ht="12.75">
      <c r="A50" t="s">
        <v>27</v>
      </c>
      <c r="D50" s="12">
        <f>D48</f>
        <v>-18123.289999999986</v>
      </c>
    </row>
    <row r="52" spans="1:4" ht="12.75">
      <c r="A52" s="11" t="s">
        <v>28</v>
      </c>
      <c r="D52" s="12">
        <f>D53+D54</f>
        <v>62653.94099999999</v>
      </c>
    </row>
    <row r="53" spans="1:4" ht="12.75" hidden="1">
      <c r="A53" s="11" t="s">
        <v>29</v>
      </c>
      <c r="D53" s="12">
        <f>(2.75*2*D5)+(1.1*5*D5)+(1.21*5*D5)</f>
        <v>53600.08499999999</v>
      </c>
    </row>
    <row r="54" spans="1:4" ht="12.75" hidden="1">
      <c r="A54" s="11" t="s">
        <v>30</v>
      </c>
      <c r="D54" s="12">
        <f>(0.24*12*D5)</f>
        <v>9053.856</v>
      </c>
    </row>
    <row r="55" spans="1:4" ht="12.75">
      <c r="A55" s="11" t="s">
        <v>31</v>
      </c>
      <c r="D55" s="12">
        <f>(0.66*2*D5)</f>
        <v>4149.684</v>
      </c>
    </row>
    <row r="56" spans="1:4" ht="12.75">
      <c r="A56" s="11" t="s">
        <v>81</v>
      </c>
      <c r="D56" s="12">
        <f>(0.5*2*D5)+(0.55*5*D5)</f>
        <v>11788.875</v>
      </c>
    </row>
    <row r="57" spans="1:4" ht="12.75">
      <c r="A57" s="11" t="s">
        <v>90</v>
      </c>
      <c r="D57" s="12">
        <f>(2.2*7*D5)+(2.42*5*D5)</f>
        <v>86451.75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4526.928</v>
      </c>
    </row>
    <row r="60" spans="1:4" ht="12.75">
      <c r="A60" s="11" t="s">
        <v>34</v>
      </c>
      <c r="D60" s="12">
        <f>(3.3*2*D5)+(1.2*5*D5)+(1.32*5*D5)</f>
        <v>60359.03999999999</v>
      </c>
    </row>
    <row r="61" spans="1:4" ht="12.75">
      <c r="A61" s="11" t="s">
        <v>35</v>
      </c>
      <c r="D61" s="12">
        <f>(2.2*2*D5)+(4.1*5*D5)+(4.51*5*D5)</f>
        <v>149168.565</v>
      </c>
    </row>
    <row r="62" spans="1:4" ht="12.75">
      <c r="A62" s="11" t="s">
        <v>36</v>
      </c>
      <c r="D62" s="12">
        <f>(0.24*7*D5)+(0.26*5*D5)</f>
        <v>9368.225999999999</v>
      </c>
    </row>
    <row r="63" spans="1:4" ht="12.75">
      <c r="A63" s="11" t="s">
        <v>82</v>
      </c>
      <c r="D63" s="12">
        <f>(0.77*2*D5)+(3.2*5*D5)+(3.52*5*D5)</f>
        <v>110469.618</v>
      </c>
    </row>
    <row r="64" spans="1:4" ht="12.75">
      <c r="A64" s="11" t="s">
        <v>37</v>
      </c>
      <c r="D64" s="12">
        <f>2.25*12*D5</f>
        <v>84879.9</v>
      </c>
    </row>
    <row r="65" spans="1:7" ht="12.75">
      <c r="A65" s="11" t="s">
        <v>38</v>
      </c>
      <c r="D65" s="12">
        <v>172772</v>
      </c>
      <c r="G65" s="17"/>
    </row>
    <row r="66" spans="1:7" ht="12.75">
      <c r="A66" s="11" t="s">
        <v>39</v>
      </c>
      <c r="D66" s="12">
        <f>(1.76*2*D5)+(0.75*5*D5)+(0.83*5*D5)</f>
        <v>35901.054</v>
      </c>
      <c r="G66" s="17"/>
    </row>
    <row r="67" spans="1:7" ht="12.75">
      <c r="A67" s="15" t="s">
        <v>65</v>
      </c>
      <c r="D67" s="12">
        <v>0</v>
      </c>
      <c r="G67" s="17"/>
    </row>
    <row r="68" spans="1:7" ht="12.75">
      <c r="A68" s="11"/>
      <c r="D68" s="12"/>
      <c r="G68" s="18"/>
    </row>
    <row r="69" spans="1:7" ht="12.75">
      <c r="A69" s="11" t="s">
        <v>40</v>
      </c>
      <c r="D69" s="12">
        <f>D52+D55+D56+D57+D58+D59+D60+D61+D62+D63+D64+D65+D66+D67</f>
        <v>792489.581</v>
      </c>
      <c r="G69" s="18"/>
    </row>
    <row r="70" spans="1:7" ht="12.75">
      <c r="A70" s="11"/>
      <c r="D70" s="12"/>
      <c r="G70" s="18"/>
    </row>
    <row r="71" spans="1:4" ht="12.75">
      <c r="A71" t="s">
        <v>72</v>
      </c>
      <c r="D71" s="12">
        <f>C48-D69</f>
        <v>-57079.1810000001</v>
      </c>
    </row>
    <row r="73" ht="12.75">
      <c r="A73" s="11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8"/>
    </row>
    <row r="82" ht="12.75">
      <c r="A82" s="18"/>
    </row>
    <row r="83" ht="12.75">
      <c r="A83" s="18"/>
    </row>
    <row r="84" ht="12.75">
      <c r="A84" s="17"/>
    </row>
    <row r="85" ht="12.75">
      <c r="A85" s="17"/>
    </row>
    <row r="86" ht="12.75">
      <c r="A86" s="17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85"/>
  <dimension ref="A3:G71"/>
  <sheetViews>
    <sheetView zoomScalePageLayoutView="0" workbookViewId="0" topLeftCell="A1">
      <selection activeCell="A58" sqref="A58:IV58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5.8515625" style="0" customWidth="1"/>
    <col min="4" max="4" width="13.00390625" style="0" customWidth="1"/>
    <col min="5" max="5" width="7.8515625" style="0" customWidth="1"/>
  </cols>
  <sheetData>
    <row r="3" spans="1:7" ht="12.75">
      <c r="A3" s="1" t="s">
        <v>0</v>
      </c>
      <c r="B3" s="2" t="s">
        <v>1</v>
      </c>
      <c r="C3" s="1" t="s">
        <v>66</v>
      </c>
      <c r="D3" s="1"/>
      <c r="E3" s="1" t="s">
        <v>2</v>
      </c>
      <c r="F3" s="3">
        <v>3</v>
      </c>
      <c r="G3">
        <v>2015</v>
      </c>
    </row>
    <row r="5" spans="1:5" ht="12.75">
      <c r="A5" t="s">
        <v>3</v>
      </c>
      <c r="D5" s="4">
        <v>3036.8</v>
      </c>
      <c r="E5" s="5" t="s">
        <v>41</v>
      </c>
    </row>
    <row r="6" spans="1:5" ht="12.75">
      <c r="A6" t="s">
        <v>4</v>
      </c>
      <c r="D6" s="4">
        <v>59</v>
      </c>
      <c r="E6" s="5"/>
    </row>
    <row r="7" spans="1:5" ht="12.75">
      <c r="A7" t="s">
        <v>5</v>
      </c>
      <c r="D7" s="4">
        <v>205</v>
      </c>
      <c r="E7" s="5" t="s">
        <v>6</v>
      </c>
    </row>
    <row r="8" spans="1:5" ht="12.75">
      <c r="A8" t="s">
        <v>7</v>
      </c>
      <c r="D8" s="4">
        <v>240.3</v>
      </c>
      <c r="E8" s="5" t="s">
        <v>41</v>
      </c>
    </row>
    <row r="9" spans="1:5" ht="12.75">
      <c r="A9" t="s">
        <v>8</v>
      </c>
      <c r="D9" s="4">
        <v>3196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687963.6699999998</v>
      </c>
      <c r="C13" s="8">
        <f>SUM(C14:C25)</f>
        <v>665754.5499999999</v>
      </c>
      <c r="D13" s="8">
        <f>SUM(D14:D25)</f>
        <v>22209.119999999966</v>
      </c>
    </row>
    <row r="14" spans="1:4" ht="12.75" hidden="1">
      <c r="A14" s="9" t="s">
        <v>25</v>
      </c>
      <c r="B14" s="8">
        <f>55391.22-2207.72</f>
        <v>53183.5</v>
      </c>
      <c r="C14" s="8">
        <v>47140.37</v>
      </c>
      <c r="D14" s="8">
        <f aca="true" t="shared" si="0" ref="D14:D25">B14-C14</f>
        <v>6043.129999999997</v>
      </c>
    </row>
    <row r="15" spans="1:4" ht="12.75" hidden="1">
      <c r="A15" s="9" t="s">
        <v>13</v>
      </c>
      <c r="B15" s="8">
        <v>55210.84</v>
      </c>
      <c r="C15" s="13">
        <v>40750.58</v>
      </c>
      <c r="D15" s="8">
        <f t="shared" si="0"/>
        <v>14460.259999999995</v>
      </c>
    </row>
    <row r="16" spans="1:4" ht="12.75" hidden="1">
      <c r="A16" s="9" t="s">
        <v>14</v>
      </c>
      <c r="B16" s="8">
        <v>55210.84</v>
      </c>
      <c r="C16" s="13">
        <v>119227.6</v>
      </c>
      <c r="D16" s="8">
        <f t="shared" si="0"/>
        <v>-64016.76000000001</v>
      </c>
    </row>
    <row r="17" spans="1:4" ht="12.75" hidden="1">
      <c r="A17" s="9" t="s">
        <v>15</v>
      </c>
      <c r="B17" s="8">
        <v>55210.84</v>
      </c>
      <c r="C17" s="13">
        <v>38292.18</v>
      </c>
      <c r="D17" s="8">
        <f t="shared" si="0"/>
        <v>16918.659999999996</v>
      </c>
    </row>
    <row r="18" spans="1:4" ht="12.75" hidden="1">
      <c r="A18" s="9" t="s">
        <v>16</v>
      </c>
      <c r="B18" s="8">
        <v>55210.84</v>
      </c>
      <c r="C18" s="13">
        <v>43421.9</v>
      </c>
      <c r="D18" s="8">
        <f t="shared" si="0"/>
        <v>11788.939999999995</v>
      </c>
    </row>
    <row r="19" spans="1:4" ht="12.75" hidden="1">
      <c r="A19" s="9" t="s">
        <v>17</v>
      </c>
      <c r="B19" s="8">
        <v>55210.84</v>
      </c>
      <c r="C19" s="13">
        <v>54824.11</v>
      </c>
      <c r="D19" s="8">
        <f t="shared" si="0"/>
        <v>386.7299999999959</v>
      </c>
    </row>
    <row r="20" spans="1:4" ht="12.75" hidden="1">
      <c r="A20" s="9" t="s">
        <v>18</v>
      </c>
      <c r="B20" s="8">
        <v>55210.84</v>
      </c>
      <c r="C20" s="13">
        <v>41748.31</v>
      </c>
      <c r="D20" s="8">
        <f t="shared" si="0"/>
        <v>13462.529999999999</v>
      </c>
    </row>
    <row r="21" spans="1:4" ht="12.75" hidden="1">
      <c r="A21" s="9" t="s">
        <v>19</v>
      </c>
      <c r="B21" s="13">
        <v>60634.29</v>
      </c>
      <c r="C21" s="13">
        <v>48972.16</v>
      </c>
      <c r="D21" s="8">
        <f t="shared" si="0"/>
        <v>11662.129999999997</v>
      </c>
    </row>
    <row r="22" spans="1:4" ht="12.75" hidden="1">
      <c r="A22" s="9" t="s">
        <v>20</v>
      </c>
      <c r="B22" s="13">
        <v>60720.21</v>
      </c>
      <c r="C22" s="13">
        <v>59033.97</v>
      </c>
      <c r="D22" s="8">
        <f t="shared" si="0"/>
        <v>1686.239999999998</v>
      </c>
    </row>
    <row r="23" spans="1:4" ht="12.75" hidden="1">
      <c r="A23" s="9" t="s">
        <v>21</v>
      </c>
      <c r="B23" s="13">
        <v>60720.21</v>
      </c>
      <c r="C23" s="13">
        <v>56207.06</v>
      </c>
      <c r="D23" s="13">
        <f t="shared" si="0"/>
        <v>4513.1500000000015</v>
      </c>
    </row>
    <row r="24" spans="1:4" ht="12.75" hidden="1">
      <c r="A24" s="9" t="s">
        <v>22</v>
      </c>
      <c r="B24" s="13">
        <v>60720.21</v>
      </c>
      <c r="C24" s="13">
        <v>60443.11</v>
      </c>
      <c r="D24" s="13">
        <f t="shared" si="0"/>
        <v>277.09999999999854</v>
      </c>
    </row>
    <row r="25" spans="1:4" ht="12.75" hidden="1">
      <c r="A25" s="9" t="s">
        <v>23</v>
      </c>
      <c r="B25" s="13">
        <v>60720.21</v>
      </c>
      <c r="C25" s="13">
        <v>55693.2</v>
      </c>
      <c r="D25" s="13">
        <f t="shared" si="0"/>
        <v>5027.010000000002</v>
      </c>
    </row>
    <row r="26" spans="1:4" ht="12.75">
      <c r="A26" s="7" t="s">
        <v>24</v>
      </c>
      <c r="B26" s="8">
        <f>SUM(B27:B38)</f>
        <v>648.96</v>
      </c>
      <c r="C26" s="8">
        <f>SUM(C27:C38)</f>
        <v>583.99</v>
      </c>
      <c r="D26" s="8">
        <f>SUM(D27:D38)</f>
        <v>64.96999999999997</v>
      </c>
    </row>
    <row r="27" spans="1:4" ht="12.75" hidden="1">
      <c r="A27" s="9" t="s">
        <v>25</v>
      </c>
      <c r="B27" s="8">
        <v>54.08</v>
      </c>
      <c r="C27" s="8">
        <v>36.24</v>
      </c>
      <c r="D27" s="8">
        <f aca="true" t="shared" si="1" ref="D27:D38">B27-C27</f>
        <v>17.839999999999996</v>
      </c>
    </row>
    <row r="28" spans="1:4" ht="12.75" hidden="1">
      <c r="A28" s="9" t="s">
        <v>13</v>
      </c>
      <c r="B28" s="8">
        <v>54.08</v>
      </c>
      <c r="C28" s="13">
        <v>23.81</v>
      </c>
      <c r="D28" s="8">
        <f t="shared" si="1"/>
        <v>30.27</v>
      </c>
    </row>
    <row r="29" spans="1:4" ht="12.75" hidden="1">
      <c r="A29" s="9" t="s">
        <v>14</v>
      </c>
      <c r="B29" s="8">
        <v>54.08</v>
      </c>
      <c r="C29" s="13">
        <v>52.35</v>
      </c>
      <c r="D29" s="8">
        <f t="shared" si="1"/>
        <v>1.7299999999999969</v>
      </c>
    </row>
    <row r="30" spans="1:4" ht="12.75" hidden="1">
      <c r="A30" s="9" t="s">
        <v>15</v>
      </c>
      <c r="B30" s="8">
        <v>54.08</v>
      </c>
      <c r="C30" s="13">
        <v>98.81</v>
      </c>
      <c r="D30" s="8">
        <f t="shared" si="1"/>
        <v>-44.730000000000004</v>
      </c>
    </row>
    <row r="31" spans="1:4" ht="12.75" hidden="1">
      <c r="A31" s="9" t="s">
        <v>16</v>
      </c>
      <c r="B31" s="8">
        <v>54.08</v>
      </c>
      <c r="C31" s="13">
        <v>51.84</v>
      </c>
      <c r="D31" s="8">
        <f t="shared" si="1"/>
        <v>2.239999999999995</v>
      </c>
    </row>
    <row r="32" spans="1:4" ht="12.75" hidden="1">
      <c r="A32" s="9" t="s">
        <v>17</v>
      </c>
      <c r="B32" s="8">
        <v>54.08</v>
      </c>
      <c r="C32" s="13">
        <v>82</v>
      </c>
      <c r="D32" s="8">
        <f t="shared" si="1"/>
        <v>-27.92</v>
      </c>
    </row>
    <row r="33" spans="1:4" ht="12.75" hidden="1">
      <c r="A33" s="9" t="s">
        <v>18</v>
      </c>
      <c r="B33" s="8">
        <v>54.08</v>
      </c>
      <c r="C33" s="13">
        <v>31.35</v>
      </c>
      <c r="D33" s="8">
        <f t="shared" si="1"/>
        <v>22.729999999999997</v>
      </c>
    </row>
    <row r="34" spans="1:4" ht="12.75" hidden="1">
      <c r="A34" s="9" t="s">
        <v>19</v>
      </c>
      <c r="B34" s="8">
        <v>54.08</v>
      </c>
      <c r="C34" s="13">
        <v>29.27</v>
      </c>
      <c r="D34" s="8">
        <f t="shared" si="1"/>
        <v>24.81</v>
      </c>
    </row>
    <row r="35" spans="1:4" ht="12.75" hidden="1">
      <c r="A35" s="9" t="s">
        <v>20</v>
      </c>
      <c r="B35" s="8">
        <v>54.08</v>
      </c>
      <c r="C35" s="13">
        <v>57.63</v>
      </c>
      <c r="D35" s="8">
        <f t="shared" si="1"/>
        <v>-3.5500000000000043</v>
      </c>
    </row>
    <row r="36" spans="1:4" ht="12.75" hidden="1">
      <c r="A36" s="9" t="s">
        <v>21</v>
      </c>
      <c r="B36" s="8">
        <v>54.08</v>
      </c>
      <c r="C36" s="13">
        <v>31.68</v>
      </c>
      <c r="D36" s="13">
        <f t="shared" si="1"/>
        <v>22.4</v>
      </c>
    </row>
    <row r="37" spans="1:4" ht="12.75" hidden="1">
      <c r="A37" s="9" t="s">
        <v>22</v>
      </c>
      <c r="B37" s="8">
        <v>54.08</v>
      </c>
      <c r="C37" s="13">
        <v>53.12</v>
      </c>
      <c r="D37" s="13">
        <f t="shared" si="1"/>
        <v>0.9600000000000009</v>
      </c>
    </row>
    <row r="38" spans="1:4" ht="12.75" hidden="1">
      <c r="A38" s="9" t="s">
        <v>23</v>
      </c>
      <c r="B38" s="8">
        <v>54.08</v>
      </c>
      <c r="C38" s="13">
        <v>35.89</v>
      </c>
      <c r="D38" s="13">
        <f t="shared" si="1"/>
        <v>18.189999999999998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688612.6299999998</v>
      </c>
      <c r="C48" s="8">
        <f>C13+C26</f>
        <v>666338.5399999999</v>
      </c>
      <c r="D48" s="8">
        <f>D13+D26</f>
        <v>22274.089999999967</v>
      </c>
    </row>
    <row r="50" spans="1:4" ht="12.75">
      <c r="A50" t="s">
        <v>27</v>
      </c>
      <c r="D50" s="12">
        <f>D48</f>
        <v>22274.089999999967</v>
      </c>
    </row>
    <row r="52" spans="1:4" ht="12.75">
      <c r="A52" s="11" t="s">
        <v>28</v>
      </c>
      <c r="D52" s="12">
        <f>D53+D54</f>
        <v>60523.424</v>
      </c>
    </row>
    <row r="53" spans="1:4" ht="12.75" hidden="1">
      <c r="A53" s="11" t="s">
        <v>29</v>
      </c>
      <c r="D53" s="12">
        <f>(2.75*2*D5)+(1.1*5*D5)+(1.21*5*D5)</f>
        <v>51777.44</v>
      </c>
    </row>
    <row r="54" spans="1:4" ht="12.75" hidden="1">
      <c r="A54" s="11" t="s">
        <v>30</v>
      </c>
      <c r="D54" s="12">
        <f>(0.24*12*D5)</f>
        <v>8745.984</v>
      </c>
    </row>
    <row r="55" spans="1:4" ht="12.75">
      <c r="A55" s="11" t="s">
        <v>31</v>
      </c>
      <c r="D55" s="12">
        <f>(0.66*2*D5)</f>
        <v>4008.5760000000005</v>
      </c>
    </row>
    <row r="56" spans="1:4" ht="12.75">
      <c r="A56" s="11" t="s">
        <v>81</v>
      </c>
      <c r="D56" s="12">
        <f>(0.5*2*D5)+(0.55*5*D5)</f>
        <v>11388</v>
      </c>
    </row>
    <row r="57" spans="1:4" ht="12.75">
      <c r="A57" s="11" t="s">
        <v>90</v>
      </c>
      <c r="D57" s="12">
        <f>(2.2*7*D5)+(2.42*5*D5)</f>
        <v>83512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4372.992</v>
      </c>
    </row>
    <row r="60" spans="1:4" ht="12.75">
      <c r="A60" s="11" t="s">
        <v>34</v>
      </c>
      <c r="D60" s="12">
        <f>(3.3*2*D5)+(1.2*5*D5)+(1.32*5*D5)</f>
        <v>58306.56000000001</v>
      </c>
    </row>
    <row r="61" spans="1:4" ht="12.75">
      <c r="A61" s="11" t="s">
        <v>35</v>
      </c>
      <c r="D61" s="12">
        <f>(2.2*2*D5)+(4.1*5*D5)+(4.51*5*D5)</f>
        <v>144096.16</v>
      </c>
    </row>
    <row r="62" spans="1:4" ht="12.75">
      <c r="A62" s="11" t="s">
        <v>36</v>
      </c>
      <c r="D62" s="12">
        <f>(0.24*7*D5)+(0.26*5*D5)</f>
        <v>9049.664</v>
      </c>
    </row>
    <row r="63" spans="1:4" ht="12.75">
      <c r="A63" s="11" t="s">
        <v>82</v>
      </c>
      <c r="D63" s="12">
        <f>(0.77*2*D5)+(3.2*5*D5)+(3.52*5*D5)</f>
        <v>106713.152</v>
      </c>
    </row>
    <row r="64" spans="1:4" ht="12.75">
      <c r="A64" s="11" t="s">
        <v>37</v>
      </c>
      <c r="D64" s="12">
        <f>2.25*12*D5</f>
        <v>81993.6</v>
      </c>
    </row>
    <row r="65" spans="1:7" ht="12.75">
      <c r="A65" s="11" t="s">
        <v>38</v>
      </c>
      <c r="D65" s="12">
        <v>0</v>
      </c>
      <c r="G65" s="17"/>
    </row>
    <row r="66" spans="1:7" ht="12.75">
      <c r="A66" s="11" t="s">
        <v>39</v>
      </c>
      <c r="D66" s="12">
        <f>(1.76*2*D5)+(0.75*5*D5)+(0.83*5*D5)</f>
        <v>34680.256</v>
      </c>
      <c r="G66" s="17"/>
    </row>
    <row r="67" spans="1:7" ht="12.75" hidden="1">
      <c r="A67" s="15" t="s">
        <v>65</v>
      </c>
      <c r="D67" s="12">
        <v>0</v>
      </c>
      <c r="G67" s="17"/>
    </row>
    <row r="68" spans="1:7" ht="12.75">
      <c r="A68" s="11"/>
      <c r="D68" s="12"/>
      <c r="G68" s="17"/>
    </row>
    <row r="69" spans="1:7" ht="12.75">
      <c r="A69" s="11" t="s">
        <v>40</v>
      </c>
      <c r="D69" s="12">
        <f>D52+D55+D56+D57+D58+D59+D60+D61+D62+D63+D64+D65+D66+D67</f>
        <v>598644.3840000001</v>
      </c>
      <c r="G69" s="17"/>
    </row>
    <row r="70" spans="1:4" ht="12.75">
      <c r="A70" s="11"/>
      <c r="D70" s="12"/>
    </row>
    <row r="71" spans="1:4" ht="12.75">
      <c r="A71" t="s">
        <v>72</v>
      </c>
      <c r="D71" s="12">
        <f>C48-D69</f>
        <v>67694.15599999984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86"/>
  <dimension ref="A3:G81"/>
  <sheetViews>
    <sheetView zoomScalePageLayoutView="0" workbookViewId="0" topLeftCell="A1">
      <selection activeCell="G75" sqref="G75:I75"/>
    </sheetView>
  </sheetViews>
  <sheetFormatPr defaultColWidth="9.140625" defaultRowHeight="12.75"/>
  <cols>
    <col min="1" max="1" width="14.00390625" style="0" customWidth="1"/>
    <col min="2" max="2" width="14.421875" style="0" customWidth="1"/>
    <col min="3" max="3" width="14.140625" style="0" customWidth="1"/>
    <col min="4" max="4" width="13.8515625" style="0" customWidth="1"/>
    <col min="5" max="5" width="4.57421875" style="0" customWidth="1"/>
    <col min="6" max="6" width="4.421875" style="0" customWidth="1"/>
  </cols>
  <sheetData>
    <row r="3" spans="1:7" ht="12.75">
      <c r="A3" s="1" t="s">
        <v>0</v>
      </c>
      <c r="B3" s="2" t="s">
        <v>1</v>
      </c>
      <c r="C3" s="1" t="s">
        <v>66</v>
      </c>
      <c r="D3" s="1"/>
      <c r="E3" s="1" t="s">
        <v>2</v>
      </c>
      <c r="F3" s="3">
        <v>4</v>
      </c>
      <c r="G3">
        <v>2015</v>
      </c>
    </row>
    <row r="5" spans="1:5" ht="12.75">
      <c r="A5" t="s">
        <v>3</v>
      </c>
      <c r="D5" s="4">
        <v>820.8</v>
      </c>
      <c r="E5" s="5" t="s">
        <v>41</v>
      </c>
    </row>
    <row r="6" spans="1:5" ht="12.75">
      <c r="A6" t="s">
        <v>4</v>
      </c>
      <c r="D6" s="4">
        <v>18</v>
      </c>
      <c r="E6" s="5"/>
    </row>
    <row r="7" spans="1:5" ht="12.75">
      <c r="A7" t="s">
        <v>5</v>
      </c>
      <c r="D7" s="4">
        <v>64</v>
      </c>
      <c r="E7" s="5" t="s">
        <v>6</v>
      </c>
    </row>
    <row r="8" spans="1:5" ht="12.75">
      <c r="A8" t="s">
        <v>7</v>
      </c>
      <c r="D8" s="4">
        <v>126.9</v>
      </c>
      <c r="E8" s="5" t="s">
        <v>41</v>
      </c>
    </row>
    <row r="9" spans="1:5" ht="12.75">
      <c r="A9" t="s">
        <v>8</v>
      </c>
      <c r="D9" s="4">
        <v>1585.2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168342.19</v>
      </c>
      <c r="C13" s="8">
        <f>SUM(C14:C25)</f>
        <v>155772.52</v>
      </c>
      <c r="D13" s="8">
        <f>SUM(D14:D25)</f>
        <v>12569.669999999995</v>
      </c>
    </row>
    <row r="14" spans="1:4" ht="12.75" hidden="1">
      <c r="A14" s="9" t="s">
        <v>25</v>
      </c>
      <c r="B14" s="8">
        <v>13467.72</v>
      </c>
      <c r="C14" s="8">
        <v>12699.81</v>
      </c>
      <c r="D14" s="8">
        <f aca="true" t="shared" si="0" ref="D14:D25">B14-C14</f>
        <v>767.9099999999999</v>
      </c>
    </row>
    <row r="15" spans="1:4" ht="12.75" hidden="1">
      <c r="A15" s="9" t="s">
        <v>13</v>
      </c>
      <c r="B15" s="8">
        <v>13467.72</v>
      </c>
      <c r="C15" s="13">
        <v>13577.68</v>
      </c>
      <c r="D15" s="8">
        <f t="shared" si="0"/>
        <v>-109.96000000000095</v>
      </c>
    </row>
    <row r="16" spans="1:4" ht="12.75" hidden="1">
      <c r="A16" s="9" t="s">
        <v>14</v>
      </c>
      <c r="B16" s="8">
        <v>13467.72</v>
      </c>
      <c r="C16" s="13">
        <v>13467.72</v>
      </c>
      <c r="D16" s="8">
        <f t="shared" si="0"/>
        <v>0</v>
      </c>
    </row>
    <row r="17" spans="1:4" ht="12.75" hidden="1">
      <c r="A17" s="9" t="s">
        <v>15</v>
      </c>
      <c r="B17" s="8">
        <v>13467.72</v>
      </c>
      <c r="C17" s="13">
        <v>5202.22</v>
      </c>
      <c r="D17" s="8">
        <f t="shared" si="0"/>
        <v>8265.5</v>
      </c>
    </row>
    <row r="18" spans="1:4" ht="12.75" hidden="1">
      <c r="A18" s="9" t="s">
        <v>16</v>
      </c>
      <c r="B18" s="8">
        <v>13467.72</v>
      </c>
      <c r="C18" s="13">
        <v>15717.13</v>
      </c>
      <c r="D18" s="8">
        <f t="shared" si="0"/>
        <v>-2249.41</v>
      </c>
    </row>
    <row r="19" spans="1:4" ht="12.75" hidden="1">
      <c r="A19" s="9" t="s">
        <v>17</v>
      </c>
      <c r="B19" s="8">
        <v>13467.72</v>
      </c>
      <c r="C19" s="13">
        <v>14314.65</v>
      </c>
      <c r="D19" s="8">
        <f t="shared" si="0"/>
        <v>-846.9300000000003</v>
      </c>
    </row>
    <row r="20" spans="1:4" ht="12.75" hidden="1">
      <c r="A20" s="9" t="s">
        <v>18</v>
      </c>
      <c r="B20" s="8">
        <v>13467.72</v>
      </c>
      <c r="C20" s="13">
        <v>13178.89</v>
      </c>
      <c r="D20" s="8">
        <f t="shared" si="0"/>
        <v>288.8299999999999</v>
      </c>
    </row>
    <row r="21" spans="1:4" ht="12.75" hidden="1">
      <c r="A21" s="9" t="s">
        <v>19</v>
      </c>
      <c r="B21" s="13">
        <v>14813.63</v>
      </c>
      <c r="C21" s="13">
        <v>10825.57</v>
      </c>
      <c r="D21" s="8">
        <f t="shared" si="0"/>
        <v>3988.0599999999995</v>
      </c>
    </row>
    <row r="22" spans="1:4" ht="12.75" hidden="1">
      <c r="A22" s="9" t="s">
        <v>20</v>
      </c>
      <c r="B22" s="13">
        <v>14813.63</v>
      </c>
      <c r="C22" s="13">
        <v>15802.69</v>
      </c>
      <c r="D22" s="8">
        <f t="shared" si="0"/>
        <v>-989.0600000000013</v>
      </c>
    </row>
    <row r="23" spans="1:4" ht="12.75" hidden="1">
      <c r="A23" s="9" t="s">
        <v>21</v>
      </c>
      <c r="B23" s="13">
        <v>14813.63</v>
      </c>
      <c r="C23" s="13">
        <v>14605.18</v>
      </c>
      <c r="D23" s="13">
        <f t="shared" si="0"/>
        <v>208.4499999999989</v>
      </c>
    </row>
    <row r="24" spans="1:4" ht="12.75" hidden="1">
      <c r="A24" s="9" t="s">
        <v>22</v>
      </c>
      <c r="B24" s="13">
        <v>14813.63</v>
      </c>
      <c r="C24" s="13">
        <v>14280.26</v>
      </c>
      <c r="D24" s="13">
        <f t="shared" si="0"/>
        <v>533.369999999999</v>
      </c>
    </row>
    <row r="25" spans="1:4" ht="12.75" hidden="1">
      <c r="A25" s="9" t="s">
        <v>23</v>
      </c>
      <c r="B25" s="13">
        <v>14813.63</v>
      </c>
      <c r="C25" s="13">
        <v>12100.72</v>
      </c>
      <c r="D25" s="13">
        <f t="shared" si="0"/>
        <v>2712.91</v>
      </c>
    </row>
    <row r="26" spans="1:4" ht="12.75">
      <c r="A26" s="7" t="s">
        <v>24</v>
      </c>
      <c r="B26" s="8">
        <f>SUM(B27:B38)</f>
        <v>244.92</v>
      </c>
      <c r="C26" s="8">
        <f>SUM(C27:C38)</f>
        <v>190.56000000000003</v>
      </c>
      <c r="D26" s="8">
        <f>SUM(D27:D38)</f>
        <v>54.36</v>
      </c>
    </row>
    <row r="27" spans="1:4" ht="12.75" hidden="1">
      <c r="A27" s="9" t="s">
        <v>25</v>
      </c>
      <c r="B27" s="8">
        <v>20.41</v>
      </c>
      <c r="C27" s="8">
        <v>12.96</v>
      </c>
      <c r="D27" s="8">
        <f aca="true" t="shared" si="1" ref="D27:D38">B27-C27</f>
        <v>7.449999999999999</v>
      </c>
    </row>
    <row r="28" spans="1:4" ht="12.75" hidden="1">
      <c r="A28" s="9" t="s">
        <v>13</v>
      </c>
      <c r="B28" s="8">
        <v>20.41</v>
      </c>
      <c r="C28" s="13">
        <v>26.1</v>
      </c>
      <c r="D28" s="8">
        <f t="shared" si="1"/>
        <v>-5.690000000000001</v>
      </c>
    </row>
    <row r="29" spans="1:4" ht="12.75" hidden="1">
      <c r="A29" s="9" t="s">
        <v>14</v>
      </c>
      <c r="B29" s="8">
        <v>20.41</v>
      </c>
      <c r="C29" s="13">
        <v>17.34</v>
      </c>
      <c r="D29" s="8">
        <f t="shared" si="1"/>
        <v>3.0700000000000003</v>
      </c>
    </row>
    <row r="30" spans="1:4" ht="12.75" hidden="1">
      <c r="A30" s="9" t="s">
        <v>15</v>
      </c>
      <c r="B30" s="8">
        <v>20.41</v>
      </c>
      <c r="C30" s="13">
        <v>4.31</v>
      </c>
      <c r="D30" s="8">
        <f t="shared" si="1"/>
        <v>16.1</v>
      </c>
    </row>
    <row r="31" spans="1:4" ht="12.75" hidden="1">
      <c r="A31" s="9" t="s">
        <v>16</v>
      </c>
      <c r="B31" s="8">
        <v>20.41</v>
      </c>
      <c r="C31" s="13">
        <v>17.27</v>
      </c>
      <c r="D31" s="8">
        <f t="shared" si="1"/>
        <v>3.1400000000000006</v>
      </c>
    </row>
    <row r="32" spans="1:4" ht="12.75" hidden="1">
      <c r="A32" s="9" t="s">
        <v>17</v>
      </c>
      <c r="B32" s="8">
        <v>20.41</v>
      </c>
      <c r="C32" s="13">
        <v>21.68</v>
      </c>
      <c r="D32" s="8">
        <f t="shared" si="1"/>
        <v>-1.2699999999999996</v>
      </c>
    </row>
    <row r="33" spans="1:4" ht="12.75" hidden="1">
      <c r="A33" s="9" t="s">
        <v>18</v>
      </c>
      <c r="B33" s="8">
        <v>20.41</v>
      </c>
      <c r="C33" s="13">
        <v>12.96</v>
      </c>
      <c r="D33" s="8">
        <f t="shared" si="1"/>
        <v>7.449999999999999</v>
      </c>
    </row>
    <row r="34" spans="1:4" ht="12.75" hidden="1">
      <c r="A34" s="9" t="s">
        <v>19</v>
      </c>
      <c r="B34" s="8">
        <v>20.41</v>
      </c>
      <c r="C34" s="13">
        <v>7.87</v>
      </c>
      <c r="D34" s="8">
        <f t="shared" si="1"/>
        <v>12.54</v>
      </c>
    </row>
    <row r="35" spans="1:4" ht="12.75" hidden="1">
      <c r="A35" s="9" t="s">
        <v>20</v>
      </c>
      <c r="B35" s="8">
        <v>20.41</v>
      </c>
      <c r="C35" s="13">
        <v>26.42</v>
      </c>
      <c r="D35" s="8">
        <f t="shared" si="1"/>
        <v>-6.010000000000002</v>
      </c>
    </row>
    <row r="36" spans="1:4" ht="12.75" hidden="1">
      <c r="A36" s="9" t="s">
        <v>21</v>
      </c>
      <c r="B36" s="8">
        <v>20.41</v>
      </c>
      <c r="C36" s="13">
        <v>17.73</v>
      </c>
      <c r="D36" s="13">
        <f t="shared" si="1"/>
        <v>2.6799999999999997</v>
      </c>
    </row>
    <row r="37" spans="1:4" ht="12.75" hidden="1">
      <c r="A37" s="9" t="s">
        <v>22</v>
      </c>
      <c r="B37" s="8">
        <v>20.41</v>
      </c>
      <c r="C37" s="13">
        <v>12.96</v>
      </c>
      <c r="D37" s="13">
        <f t="shared" si="1"/>
        <v>7.449999999999999</v>
      </c>
    </row>
    <row r="38" spans="1:4" ht="12.75" hidden="1">
      <c r="A38" s="9" t="s">
        <v>23</v>
      </c>
      <c r="B38" s="8">
        <v>20.41</v>
      </c>
      <c r="C38" s="13">
        <v>12.96</v>
      </c>
      <c r="D38" s="13">
        <f t="shared" si="1"/>
        <v>7.449999999999999</v>
      </c>
    </row>
    <row r="39" spans="1:4" ht="12.75" hidden="1">
      <c r="A39" s="7" t="s">
        <v>42</v>
      </c>
      <c r="B39" s="8">
        <f>SUM(B40:B51)</f>
        <v>0</v>
      </c>
      <c r="C39" s="8">
        <f>SUM(C40:C51)</f>
        <v>0</v>
      </c>
      <c r="D39" s="8">
        <f>SUM(D40:D51)</f>
        <v>0</v>
      </c>
    </row>
    <row r="40" spans="1:4" ht="12.75" hidden="1">
      <c r="A40" s="9" t="s">
        <v>25</v>
      </c>
      <c r="B40" s="8"/>
      <c r="C40" s="8"/>
      <c r="D40" s="8">
        <f aca="true" t="shared" si="2" ref="D40:D46">B40-C40</f>
        <v>0</v>
      </c>
    </row>
    <row r="41" spans="1:4" ht="12.75" hidden="1">
      <c r="A41" s="9" t="s">
        <v>13</v>
      </c>
      <c r="B41" s="13"/>
      <c r="C41" s="13"/>
      <c r="D41" s="8">
        <f t="shared" si="2"/>
        <v>0</v>
      </c>
    </row>
    <row r="42" spans="1:4" ht="12.75" hidden="1">
      <c r="A42" s="9" t="s">
        <v>14</v>
      </c>
      <c r="B42" s="13"/>
      <c r="C42" s="13"/>
      <c r="D42" s="8">
        <f t="shared" si="2"/>
        <v>0</v>
      </c>
    </row>
    <row r="43" spans="1:4" ht="12.75" hidden="1">
      <c r="A43" s="9" t="s">
        <v>15</v>
      </c>
      <c r="B43" s="13"/>
      <c r="C43" s="13"/>
      <c r="D43" s="8">
        <f t="shared" si="2"/>
        <v>0</v>
      </c>
    </row>
    <row r="44" spans="1:4" ht="12.75" hidden="1">
      <c r="A44" s="9" t="s">
        <v>16</v>
      </c>
      <c r="B44" s="13"/>
      <c r="C44" s="13"/>
      <c r="D44" s="8">
        <f t="shared" si="2"/>
        <v>0</v>
      </c>
    </row>
    <row r="45" spans="1:4" ht="12.75" hidden="1">
      <c r="A45" s="9" t="s">
        <v>17</v>
      </c>
      <c r="B45" s="13"/>
      <c r="C45" s="13"/>
      <c r="D45" s="8">
        <f t="shared" si="2"/>
        <v>0</v>
      </c>
    </row>
    <row r="46" spans="1:4" ht="12.75" hidden="1">
      <c r="A46" s="9" t="s">
        <v>18</v>
      </c>
      <c r="B46" s="13"/>
      <c r="C46" s="13"/>
      <c r="D46" s="8">
        <f t="shared" si="2"/>
        <v>0</v>
      </c>
    </row>
    <row r="47" spans="1:4" ht="12.75" hidden="1">
      <c r="A47" s="9" t="s">
        <v>19</v>
      </c>
      <c r="B47" s="8"/>
      <c r="C47" s="8"/>
      <c r="D47" s="8">
        <f>B47-C47</f>
        <v>0</v>
      </c>
    </row>
    <row r="48" spans="1:4" ht="12.75" hidden="1">
      <c r="A48" s="9" t="s">
        <v>20</v>
      </c>
      <c r="B48" s="13"/>
      <c r="C48" s="13"/>
      <c r="D48" s="8">
        <f>B48-C48</f>
        <v>0</v>
      </c>
    </row>
    <row r="49" spans="1:4" ht="12.75" hidden="1">
      <c r="A49" s="9" t="s">
        <v>21</v>
      </c>
      <c r="B49" s="13"/>
      <c r="C49" s="13"/>
      <c r="D49" s="13">
        <f>B49-C49</f>
        <v>0</v>
      </c>
    </row>
    <row r="50" spans="1:4" ht="12.75" hidden="1">
      <c r="A50" s="9" t="s">
        <v>22</v>
      </c>
      <c r="B50" s="13"/>
      <c r="C50" s="13"/>
      <c r="D50" s="13">
        <f>B50-C50</f>
        <v>0</v>
      </c>
    </row>
    <row r="51" spans="1:4" ht="12.75" hidden="1">
      <c r="A51" s="9" t="s">
        <v>23</v>
      </c>
      <c r="B51" s="13"/>
      <c r="C51" s="13"/>
      <c r="D51" s="13">
        <f>B51-C51</f>
        <v>0</v>
      </c>
    </row>
    <row r="52" spans="1:4" ht="12.75" hidden="1">
      <c r="A52" s="7" t="s">
        <v>43</v>
      </c>
      <c r="B52" s="13">
        <f>B53+B54+B55+B56+B57</f>
        <v>0</v>
      </c>
      <c r="C52" s="13">
        <f>C53+C54+C55+C56+C57</f>
        <v>0</v>
      </c>
      <c r="D52" s="13">
        <f>SUM(D53:D57)</f>
        <v>0</v>
      </c>
    </row>
    <row r="53" spans="1:4" ht="12.75" hidden="1">
      <c r="A53" s="9" t="s">
        <v>19</v>
      </c>
      <c r="B53" s="8"/>
      <c r="C53" s="8"/>
      <c r="D53" s="8">
        <f>B53-C53</f>
        <v>0</v>
      </c>
    </row>
    <row r="54" spans="1:4" ht="12.75" hidden="1">
      <c r="A54" s="9" t="s">
        <v>20</v>
      </c>
      <c r="B54" s="13"/>
      <c r="C54" s="13"/>
      <c r="D54" s="8">
        <f>B54-C54</f>
        <v>0</v>
      </c>
    </row>
    <row r="55" spans="1:4" ht="12.75" hidden="1">
      <c r="A55" s="9" t="s">
        <v>21</v>
      </c>
      <c r="B55" s="13"/>
      <c r="C55" s="13"/>
      <c r="D55" s="13">
        <f>B55-C55</f>
        <v>0</v>
      </c>
    </row>
    <row r="56" spans="1:4" ht="12.75" hidden="1">
      <c r="A56" s="9" t="s">
        <v>22</v>
      </c>
      <c r="B56" s="13"/>
      <c r="C56" s="13"/>
      <c r="D56" s="13">
        <f>B56-C56</f>
        <v>0</v>
      </c>
    </row>
    <row r="57" spans="1:4" ht="12.75" hidden="1">
      <c r="A57" s="9" t="s">
        <v>23</v>
      </c>
      <c r="B57" s="13"/>
      <c r="C57" s="13"/>
      <c r="D57" s="13">
        <f>B57-C57</f>
        <v>0</v>
      </c>
    </row>
    <row r="58" spans="1:4" ht="12.75">
      <c r="A58" s="9" t="s">
        <v>26</v>
      </c>
      <c r="B58" s="8">
        <f>B13+B26</f>
        <v>168587.11000000002</v>
      </c>
      <c r="C58" s="8">
        <f>C13+C26</f>
        <v>155963.08</v>
      </c>
      <c r="D58" s="8">
        <f>D13+D26</f>
        <v>12624.029999999995</v>
      </c>
    </row>
    <row r="60" spans="1:4" ht="12.75">
      <c r="A60" t="s">
        <v>27</v>
      </c>
      <c r="D60" s="12">
        <f>D58</f>
        <v>12624.029999999995</v>
      </c>
    </row>
    <row r="62" spans="1:4" ht="12.75">
      <c r="A62" s="11" t="s">
        <v>28</v>
      </c>
      <c r="D62" s="12">
        <f>D63+D64</f>
        <v>16358.544</v>
      </c>
    </row>
    <row r="63" spans="1:4" ht="12.75" customHeight="1" hidden="1">
      <c r="A63" s="11" t="s">
        <v>29</v>
      </c>
      <c r="D63" s="12">
        <f>(2.75*2*D5)+(1.1*5*D5)+(1.21*5*D5)</f>
        <v>13994.64</v>
      </c>
    </row>
    <row r="64" spans="1:4" ht="12.75" customHeight="1" hidden="1">
      <c r="A64" s="11" t="s">
        <v>30</v>
      </c>
      <c r="D64" s="12">
        <f>(0.24*12*D5)</f>
        <v>2363.904</v>
      </c>
    </row>
    <row r="65" spans="1:4" ht="12.75">
      <c r="A65" s="11" t="s">
        <v>31</v>
      </c>
      <c r="D65" s="12">
        <f>(0.66*2*D5)</f>
        <v>1083.456</v>
      </c>
    </row>
    <row r="66" spans="1:4" ht="12.75">
      <c r="A66" s="11" t="s">
        <v>81</v>
      </c>
      <c r="D66" s="12">
        <f>(0.5*1*D5)+(0.55*1*D5)+(0.6*1*D5)</f>
        <v>1354.32</v>
      </c>
    </row>
    <row r="67" spans="1:4" ht="12.75">
      <c r="A67" s="11" t="s">
        <v>90</v>
      </c>
      <c r="D67" s="12">
        <f>(2.2*7*D5)+(2.42*5*D5)</f>
        <v>22572</v>
      </c>
    </row>
    <row r="68" spans="1:4" ht="12.75" hidden="1">
      <c r="A68" s="11" t="s">
        <v>33</v>
      </c>
      <c r="D68" s="12">
        <v>0</v>
      </c>
    </row>
    <row r="69" spans="1:4" ht="12.75">
      <c r="A69" s="11" t="s">
        <v>80</v>
      </c>
      <c r="D69" s="12">
        <f>(0.72*1*D5)+(0.79*1*D5)</f>
        <v>1239.408</v>
      </c>
    </row>
    <row r="70" spans="1:7" ht="12.75">
      <c r="A70" s="11" t="s">
        <v>34</v>
      </c>
      <c r="D70" s="12">
        <f>(2*2*D5)+(1.2*5*D5)+(1.32*5*D5)</f>
        <v>13625.279999999999</v>
      </c>
      <c r="G70" s="17"/>
    </row>
    <row r="71" spans="1:7" ht="12.75">
      <c r="A71" s="11" t="s">
        <v>35</v>
      </c>
      <c r="D71" s="12">
        <f>(3*2*D5)+(4.1*5*D5)+(4.51*5*D5)</f>
        <v>40260.23999999999</v>
      </c>
      <c r="G71" s="17"/>
    </row>
    <row r="72" spans="1:7" ht="12.75">
      <c r="A72" s="11" t="s">
        <v>36</v>
      </c>
      <c r="D72" s="12">
        <f>(0.24*7*D5)+(0.22*0*D5)+(0.26*5*D5)</f>
        <v>2445.984</v>
      </c>
      <c r="G72" s="17"/>
    </row>
    <row r="73" spans="1:7" ht="12.75">
      <c r="A73" s="11" t="s">
        <v>82</v>
      </c>
      <c r="D73" s="12">
        <f>(0.77*2*D5)+(3.2*5*D5)+(3.52*5*D5)</f>
        <v>28842.911999999997</v>
      </c>
      <c r="G73" s="17"/>
    </row>
    <row r="74" spans="1:7" ht="12.75">
      <c r="A74" s="11" t="s">
        <v>37</v>
      </c>
      <c r="D74" s="12">
        <f>2.25*12*D6</f>
        <v>486</v>
      </c>
      <c r="G74" s="17"/>
    </row>
    <row r="75" spans="1:7" ht="12.75">
      <c r="A75" s="11" t="s">
        <v>38</v>
      </c>
      <c r="D75" s="12">
        <v>5410</v>
      </c>
      <c r="G75" s="17"/>
    </row>
    <row r="76" spans="1:7" ht="12.75">
      <c r="A76" s="11" t="s">
        <v>39</v>
      </c>
      <c r="D76" s="12">
        <f>(1.76*2*D5)+(0.47*5*D5)+(0.52*5*D5)</f>
        <v>6952.1759999999995</v>
      </c>
      <c r="G76" s="17"/>
    </row>
    <row r="77" spans="1:7" ht="12.75" hidden="1">
      <c r="A77" s="15" t="s">
        <v>65</v>
      </c>
      <c r="D77" s="12">
        <v>0</v>
      </c>
      <c r="G77" s="17"/>
    </row>
    <row r="78" spans="1:7" ht="12.75">
      <c r="A78" s="11"/>
      <c r="D78" s="12"/>
      <c r="G78" s="17"/>
    </row>
    <row r="79" spans="1:4" ht="12.75">
      <c r="A79" s="11" t="s">
        <v>40</v>
      </c>
      <c r="D79" s="12">
        <f>D62+D65+D66+D67+D68+D69+D70+D71+D72+D73+D74+D75+D76+D77</f>
        <v>140630.31999999998</v>
      </c>
    </row>
    <row r="80" spans="1:4" ht="12.75">
      <c r="A80" s="11"/>
      <c r="D80" s="12"/>
    </row>
    <row r="81" spans="1:4" ht="12.75">
      <c r="A81" t="s">
        <v>72</v>
      </c>
      <c r="D81" s="12">
        <f>C58-D79</f>
        <v>15332.76000000001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87"/>
  <dimension ref="A3:G71"/>
  <sheetViews>
    <sheetView zoomScalePageLayoutView="0" workbookViewId="0" topLeftCell="A7">
      <selection activeCell="A67" sqref="A67:IV67"/>
    </sheetView>
  </sheetViews>
  <sheetFormatPr defaultColWidth="9.140625" defaultRowHeight="12.75"/>
  <cols>
    <col min="1" max="1" width="13.57421875" style="0" customWidth="1"/>
    <col min="2" max="2" width="12.140625" style="0" customWidth="1"/>
    <col min="3" max="3" width="12.7109375" style="0" customWidth="1"/>
    <col min="4" max="4" width="12.421875" style="0" customWidth="1"/>
    <col min="5" max="5" width="4.8515625" style="0" customWidth="1"/>
    <col min="6" max="6" width="4.57421875" style="0" customWidth="1"/>
  </cols>
  <sheetData>
    <row r="3" spans="1:7" ht="12.75">
      <c r="A3" s="1" t="s">
        <v>0</v>
      </c>
      <c r="B3" s="2" t="s">
        <v>1</v>
      </c>
      <c r="C3" s="1" t="s">
        <v>66</v>
      </c>
      <c r="D3" s="1"/>
      <c r="E3" s="1" t="s">
        <v>2</v>
      </c>
      <c r="F3" s="3">
        <v>5</v>
      </c>
      <c r="G3">
        <v>2015</v>
      </c>
    </row>
    <row r="5" spans="1:5" ht="12.75">
      <c r="A5" t="s">
        <v>3</v>
      </c>
      <c r="D5" s="4">
        <v>1015</v>
      </c>
      <c r="E5" s="5" t="s">
        <v>41</v>
      </c>
    </row>
    <row r="6" spans="1:5" ht="12.75">
      <c r="A6" t="s">
        <v>4</v>
      </c>
      <c r="D6" s="4">
        <v>24</v>
      </c>
      <c r="E6" s="5"/>
    </row>
    <row r="7" spans="1:5" ht="12.75">
      <c r="A7" t="s">
        <v>5</v>
      </c>
      <c r="D7" s="4">
        <v>62</v>
      </c>
      <c r="E7" s="5" t="s">
        <v>6</v>
      </c>
    </row>
    <row r="8" spans="1:5" ht="12.75">
      <c r="A8" t="s">
        <v>7</v>
      </c>
      <c r="D8" s="4">
        <v>95.2</v>
      </c>
      <c r="E8" s="5" t="s">
        <v>41</v>
      </c>
    </row>
    <row r="9" spans="1:5" ht="12.75">
      <c r="A9" t="s">
        <v>8</v>
      </c>
      <c r="D9" s="4">
        <v>1783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208196.72999999998</v>
      </c>
      <c r="C13" s="8">
        <f>SUM(C14:C25)</f>
        <v>219911.79000000004</v>
      </c>
      <c r="D13" s="8">
        <f>SUM(D14:D25)</f>
        <v>-11715.060000000005</v>
      </c>
    </row>
    <row r="14" spans="1:4" ht="12.75" hidden="1">
      <c r="A14" s="9" t="s">
        <v>25</v>
      </c>
      <c r="B14" s="8">
        <v>16656.14</v>
      </c>
      <c r="C14" s="8">
        <v>23616.82</v>
      </c>
      <c r="D14" s="8">
        <f aca="true" t="shared" si="0" ref="D14:D25">B14-C14</f>
        <v>-6960.68</v>
      </c>
    </row>
    <row r="15" spans="1:4" ht="12.75" hidden="1">
      <c r="A15" s="9" t="s">
        <v>13</v>
      </c>
      <c r="B15" s="8">
        <v>16656.14</v>
      </c>
      <c r="C15" s="13">
        <v>22446.72</v>
      </c>
      <c r="D15" s="8">
        <f t="shared" si="0"/>
        <v>-5790.580000000002</v>
      </c>
    </row>
    <row r="16" spans="1:4" ht="12.75" hidden="1">
      <c r="A16" s="9" t="s">
        <v>14</v>
      </c>
      <c r="B16" s="8">
        <v>16656.14</v>
      </c>
      <c r="C16" s="13">
        <v>22923.64</v>
      </c>
      <c r="D16" s="8">
        <f t="shared" si="0"/>
        <v>-6267.5</v>
      </c>
    </row>
    <row r="17" spans="1:4" ht="12.75" hidden="1">
      <c r="A17" s="9" t="s">
        <v>15</v>
      </c>
      <c r="B17" s="8">
        <v>16656.14</v>
      </c>
      <c r="C17" s="13">
        <v>13623.02</v>
      </c>
      <c r="D17" s="8">
        <f t="shared" si="0"/>
        <v>3033.119999999999</v>
      </c>
    </row>
    <row r="18" spans="1:4" ht="12.75" hidden="1">
      <c r="A18" s="9" t="s">
        <v>16</v>
      </c>
      <c r="B18" s="8">
        <v>16656.14</v>
      </c>
      <c r="C18" s="13">
        <v>14338.05</v>
      </c>
      <c r="D18" s="8">
        <f t="shared" si="0"/>
        <v>2318.09</v>
      </c>
    </row>
    <row r="19" spans="1:4" ht="12.75" hidden="1">
      <c r="A19" s="9" t="s">
        <v>17</v>
      </c>
      <c r="B19" s="8">
        <v>16656.14</v>
      </c>
      <c r="C19" s="13">
        <v>17139.74</v>
      </c>
      <c r="D19" s="8">
        <f t="shared" si="0"/>
        <v>-483.6000000000022</v>
      </c>
    </row>
    <row r="20" spans="1:4" ht="12.75" hidden="1">
      <c r="A20" s="9" t="s">
        <v>18</v>
      </c>
      <c r="B20" s="8">
        <v>16656.14</v>
      </c>
      <c r="C20" s="13">
        <v>11965.96</v>
      </c>
      <c r="D20" s="8">
        <f t="shared" si="0"/>
        <v>4690.18</v>
      </c>
    </row>
    <row r="21" spans="1:4" ht="12.75" hidden="1">
      <c r="A21" s="9" t="s">
        <v>19</v>
      </c>
      <c r="B21" s="13">
        <v>18320.75</v>
      </c>
      <c r="C21" s="13">
        <v>17712.28</v>
      </c>
      <c r="D21" s="8">
        <f t="shared" si="0"/>
        <v>608.4700000000012</v>
      </c>
    </row>
    <row r="22" spans="1:4" ht="12.75" hidden="1">
      <c r="A22" s="9" t="s">
        <v>20</v>
      </c>
      <c r="B22" s="13">
        <v>18320.75</v>
      </c>
      <c r="C22" s="13">
        <v>24351.57</v>
      </c>
      <c r="D22" s="8">
        <f t="shared" si="0"/>
        <v>-6030.82</v>
      </c>
    </row>
    <row r="23" spans="1:4" ht="12.75" hidden="1">
      <c r="A23" s="9" t="s">
        <v>21</v>
      </c>
      <c r="B23" s="13">
        <v>18320.75</v>
      </c>
      <c r="C23" s="13">
        <v>22092.04</v>
      </c>
      <c r="D23" s="13">
        <f t="shared" si="0"/>
        <v>-3771.290000000001</v>
      </c>
    </row>
    <row r="24" spans="1:4" ht="12.75" hidden="1">
      <c r="A24" s="9" t="s">
        <v>22</v>
      </c>
      <c r="B24" s="13">
        <v>18320.75</v>
      </c>
      <c r="C24" s="13">
        <v>17608.59</v>
      </c>
      <c r="D24" s="13">
        <f t="shared" si="0"/>
        <v>712.1599999999999</v>
      </c>
    </row>
    <row r="25" spans="1:4" ht="12.75" hidden="1">
      <c r="A25" s="9" t="s">
        <v>23</v>
      </c>
      <c r="B25" s="13">
        <v>18320.75</v>
      </c>
      <c r="C25" s="13">
        <v>12093.36</v>
      </c>
      <c r="D25" s="13">
        <f t="shared" si="0"/>
        <v>6227.389999999999</v>
      </c>
    </row>
    <row r="26" spans="1:4" ht="12.75">
      <c r="A26" s="7" t="s">
        <v>24</v>
      </c>
      <c r="B26" s="8">
        <f>SUM(B27:B38)</f>
        <v>189.72</v>
      </c>
      <c r="C26" s="8">
        <f>SUM(C27:C38)</f>
        <v>217.12999999999997</v>
      </c>
      <c r="D26" s="8">
        <f>SUM(D27:D38)</f>
        <v>-27.409999999999993</v>
      </c>
    </row>
    <row r="27" spans="1:4" ht="12.75" hidden="1">
      <c r="A27" s="9" t="s">
        <v>25</v>
      </c>
      <c r="B27" s="8">
        <v>15.81</v>
      </c>
      <c r="C27" s="8">
        <v>42.32</v>
      </c>
      <c r="D27" s="8">
        <f aca="true" t="shared" si="1" ref="D27:D38">B27-C27</f>
        <v>-26.509999999999998</v>
      </c>
    </row>
    <row r="28" spans="1:4" ht="12.75" hidden="1">
      <c r="A28" s="9" t="s">
        <v>13</v>
      </c>
      <c r="B28" s="8">
        <v>15.81</v>
      </c>
      <c r="C28" s="13">
        <v>21.37</v>
      </c>
      <c r="D28" s="8">
        <f t="shared" si="1"/>
        <v>-5.5600000000000005</v>
      </c>
    </row>
    <row r="29" spans="1:4" ht="12.75" hidden="1">
      <c r="A29" s="9" t="s">
        <v>14</v>
      </c>
      <c r="B29" s="8">
        <v>15.81</v>
      </c>
      <c r="C29" s="13">
        <v>10.78</v>
      </c>
      <c r="D29" s="8">
        <f t="shared" si="1"/>
        <v>5.030000000000001</v>
      </c>
    </row>
    <row r="30" spans="1:4" ht="12.75" hidden="1">
      <c r="A30" s="9" t="s">
        <v>15</v>
      </c>
      <c r="B30" s="8">
        <v>15.81</v>
      </c>
      <c r="C30" s="13">
        <v>10.93</v>
      </c>
      <c r="D30" s="8">
        <f t="shared" si="1"/>
        <v>4.880000000000001</v>
      </c>
    </row>
    <row r="31" spans="1:4" ht="12.75" hidden="1">
      <c r="A31" s="9" t="s">
        <v>16</v>
      </c>
      <c r="B31" s="8">
        <v>15.81</v>
      </c>
      <c r="C31" s="13">
        <v>5.97</v>
      </c>
      <c r="D31" s="8">
        <f t="shared" si="1"/>
        <v>9.84</v>
      </c>
    </row>
    <row r="32" spans="1:4" ht="12.75" hidden="1">
      <c r="A32" s="9" t="s">
        <v>17</v>
      </c>
      <c r="B32" s="8">
        <v>15.81</v>
      </c>
      <c r="C32" s="13">
        <v>9.82</v>
      </c>
      <c r="D32" s="8">
        <f t="shared" si="1"/>
        <v>5.99</v>
      </c>
    </row>
    <row r="33" spans="1:4" ht="12.75" hidden="1">
      <c r="A33" s="9" t="s">
        <v>18</v>
      </c>
      <c r="B33" s="8">
        <v>15.81</v>
      </c>
      <c r="C33" s="13">
        <v>10.22</v>
      </c>
      <c r="D33" s="8">
        <f t="shared" si="1"/>
        <v>5.59</v>
      </c>
    </row>
    <row r="34" spans="1:4" ht="12.75" hidden="1">
      <c r="A34" s="9" t="s">
        <v>19</v>
      </c>
      <c r="B34" s="8">
        <v>15.81</v>
      </c>
      <c r="C34" s="13">
        <v>9.54</v>
      </c>
      <c r="D34" s="8">
        <f t="shared" si="1"/>
        <v>6.270000000000001</v>
      </c>
    </row>
    <row r="35" spans="1:4" ht="12.75" hidden="1">
      <c r="A35" s="9" t="s">
        <v>20</v>
      </c>
      <c r="B35" s="8">
        <v>15.81</v>
      </c>
      <c r="C35" s="13">
        <v>65.7</v>
      </c>
      <c r="D35" s="8">
        <f t="shared" si="1"/>
        <v>-49.89</v>
      </c>
    </row>
    <row r="36" spans="1:4" ht="12.75" hidden="1">
      <c r="A36" s="9" t="s">
        <v>21</v>
      </c>
      <c r="B36" s="8">
        <v>15.81</v>
      </c>
      <c r="C36" s="13">
        <v>14.69</v>
      </c>
      <c r="D36" s="13">
        <f t="shared" si="1"/>
        <v>1.120000000000001</v>
      </c>
    </row>
    <row r="37" spans="1:4" ht="12.75" hidden="1">
      <c r="A37" s="9" t="s">
        <v>22</v>
      </c>
      <c r="B37" s="8">
        <v>15.81</v>
      </c>
      <c r="C37" s="13">
        <v>9.82</v>
      </c>
      <c r="D37" s="13">
        <f t="shared" si="1"/>
        <v>5.99</v>
      </c>
    </row>
    <row r="38" spans="1:4" ht="12.75" hidden="1">
      <c r="A38" s="9" t="s">
        <v>23</v>
      </c>
      <c r="B38" s="8">
        <v>15.81</v>
      </c>
      <c r="C38" s="13">
        <v>5.97</v>
      </c>
      <c r="D38" s="13">
        <f t="shared" si="1"/>
        <v>9.84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208386.44999999998</v>
      </c>
      <c r="C48" s="8">
        <f>C13+C26</f>
        <v>220128.92000000004</v>
      </c>
      <c r="D48" s="8">
        <f>D13+D26</f>
        <v>-11742.470000000005</v>
      </c>
    </row>
    <row r="50" spans="1:4" ht="12.75">
      <c r="A50" t="s">
        <v>27</v>
      </c>
      <c r="D50" s="12">
        <f>D48</f>
        <v>-11742.470000000005</v>
      </c>
    </row>
    <row r="52" spans="1:4" ht="12.75">
      <c r="A52" s="11" t="s">
        <v>28</v>
      </c>
      <c r="D52" s="12">
        <f>D53+D54</f>
        <v>20228.95</v>
      </c>
    </row>
    <row r="53" spans="1:4" ht="12.75" hidden="1">
      <c r="A53" s="11" t="s">
        <v>29</v>
      </c>
      <c r="D53" s="12">
        <f>(2.75*2*D5)+(1.1*5*D5)+(1.21*5*D5)</f>
        <v>17305.75</v>
      </c>
    </row>
    <row r="54" spans="1:4" ht="12.75" hidden="1">
      <c r="A54" s="11" t="s">
        <v>30</v>
      </c>
      <c r="D54" s="12">
        <f>(0.24*12*D5)</f>
        <v>2923.2</v>
      </c>
    </row>
    <row r="55" spans="1:4" ht="12.75">
      <c r="A55" s="11" t="s">
        <v>31</v>
      </c>
      <c r="D55" s="12">
        <f>(0.66*2*D5)</f>
        <v>1339.8</v>
      </c>
    </row>
    <row r="56" spans="1:4" ht="12.75">
      <c r="A56" s="11" t="s">
        <v>81</v>
      </c>
      <c r="D56" s="12">
        <f>(0.5*1*D5)+(0.55*1*D5)+(0.6*1*D5)</f>
        <v>1674.75</v>
      </c>
    </row>
    <row r="57" spans="1:4" ht="12.75">
      <c r="A57" s="11" t="s">
        <v>90</v>
      </c>
      <c r="D57" s="12">
        <f>(2.2*7*D5)+(2.42*5*D5)</f>
        <v>27912.5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(0.72*1*D5)+(0.79*1*D5)</f>
        <v>1532.65</v>
      </c>
    </row>
    <row r="60" spans="1:4" ht="12.75">
      <c r="A60" s="11" t="s">
        <v>34</v>
      </c>
      <c r="D60" s="12">
        <f>(2*2*D5)+(1.2*5*D5)+(1.32*5*D5)</f>
        <v>16849</v>
      </c>
    </row>
    <row r="61" spans="1:4" ht="12.75">
      <c r="A61" s="11" t="s">
        <v>35</v>
      </c>
      <c r="D61" s="12">
        <f>(3*2*D5)+(4.1*5*D5)+(4.51*5*D5)</f>
        <v>49785.75</v>
      </c>
    </row>
    <row r="62" spans="1:4" ht="12.75">
      <c r="A62" s="11" t="s">
        <v>36</v>
      </c>
      <c r="D62" s="12">
        <f>(0.24*7*D5)+(0.22*0*D5)+(0.26*5*D5)</f>
        <v>3024.7</v>
      </c>
    </row>
    <row r="63" spans="1:4" ht="12.75">
      <c r="A63" s="11" t="s">
        <v>79</v>
      </c>
      <c r="D63" s="12">
        <f>(0.77*2*D5)+(3.2*5*D5)+(3.52*5*D5)</f>
        <v>35667.1</v>
      </c>
    </row>
    <row r="64" spans="1:7" ht="12.75">
      <c r="A64" s="11" t="s">
        <v>37</v>
      </c>
      <c r="D64" s="12">
        <f>2.25*12*D6</f>
        <v>648</v>
      </c>
      <c r="G64" s="17"/>
    </row>
    <row r="65" spans="1:4" ht="12.75">
      <c r="A65" s="11" t="s">
        <v>38</v>
      </c>
      <c r="D65" s="12">
        <v>1785</v>
      </c>
    </row>
    <row r="66" spans="1:4" ht="12.75">
      <c r="A66" s="11" t="s">
        <v>39</v>
      </c>
      <c r="D66" s="12">
        <f>(1.76*2*D5)+(0.47*5*D5)+(0.52*5*D5)</f>
        <v>8597.05</v>
      </c>
    </row>
    <row r="67" spans="1:4" ht="12.75" hidden="1">
      <c r="A67" s="15" t="s">
        <v>65</v>
      </c>
      <c r="D67" s="12">
        <v>0</v>
      </c>
    </row>
    <row r="68" spans="1:7" ht="12.75">
      <c r="A68" s="11"/>
      <c r="D68" s="12"/>
      <c r="G68" s="17"/>
    </row>
    <row r="69" spans="1:7" ht="12.75">
      <c r="A69" s="11" t="s">
        <v>40</v>
      </c>
      <c r="D69" s="12">
        <f>D52+D55+D56+D57+D58+D59+D60+D61+D62+D63+D64+D65+D66+D67</f>
        <v>169045.24999999997</v>
      </c>
      <c r="G69" s="17"/>
    </row>
    <row r="70" spans="1:4" ht="12.75">
      <c r="A70" s="11"/>
      <c r="D70" s="12"/>
    </row>
    <row r="71" spans="1:4" ht="12.75">
      <c r="A71" t="s">
        <v>72</v>
      </c>
      <c r="D71" s="12">
        <f>C48-D69</f>
        <v>51083.67000000007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88"/>
  <dimension ref="A3:G71"/>
  <sheetViews>
    <sheetView zoomScalePageLayoutView="0" workbookViewId="0" topLeftCell="A1">
      <selection activeCell="G65" sqref="G65:J65"/>
    </sheetView>
  </sheetViews>
  <sheetFormatPr defaultColWidth="9.140625" defaultRowHeight="12.75"/>
  <cols>
    <col min="1" max="1" width="13.140625" style="0" customWidth="1"/>
    <col min="2" max="2" width="13.7109375" style="0" customWidth="1"/>
    <col min="3" max="3" width="14.28125" style="0" customWidth="1"/>
    <col min="4" max="4" width="13.8515625" style="0" customWidth="1"/>
    <col min="5" max="5" width="3.140625" style="0" customWidth="1"/>
    <col min="6" max="6" width="2.7109375" style="0" customWidth="1"/>
  </cols>
  <sheetData>
    <row r="3" spans="1:7" ht="12.75">
      <c r="A3" s="1" t="s">
        <v>0</v>
      </c>
      <c r="B3" s="2" t="s">
        <v>1</v>
      </c>
      <c r="C3" s="1" t="s">
        <v>66</v>
      </c>
      <c r="D3" s="1"/>
      <c r="E3" s="1" t="s">
        <v>2</v>
      </c>
      <c r="F3" s="3">
        <v>6</v>
      </c>
      <c r="G3">
        <v>2015</v>
      </c>
    </row>
    <row r="5" spans="1:5" ht="12.75">
      <c r="A5" t="s">
        <v>3</v>
      </c>
      <c r="D5" s="4">
        <v>1016.3</v>
      </c>
      <c r="E5" s="5" t="s">
        <v>41</v>
      </c>
    </row>
    <row r="6" spans="1:5" ht="12.75">
      <c r="A6" t="s">
        <v>4</v>
      </c>
      <c r="D6" s="4">
        <v>24</v>
      </c>
      <c r="E6" s="5"/>
    </row>
    <row r="7" spans="1:5" ht="12.75">
      <c r="A7" t="s">
        <v>5</v>
      </c>
      <c r="D7" s="4">
        <v>59</v>
      </c>
      <c r="E7" s="5" t="s">
        <v>6</v>
      </c>
    </row>
    <row r="8" spans="1:5" ht="12.75">
      <c r="A8" t="s">
        <v>7</v>
      </c>
      <c r="D8" s="4">
        <v>95</v>
      </c>
      <c r="E8" s="5" t="s">
        <v>41</v>
      </c>
    </row>
    <row r="9" spans="1:5" ht="12.75">
      <c r="A9" t="s">
        <v>8</v>
      </c>
      <c r="D9" s="4">
        <v>1718.3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208463.64000000007</v>
      </c>
      <c r="C13" s="8">
        <f>SUM(C14:C25)</f>
        <v>220767.51999999996</v>
      </c>
      <c r="D13" s="8">
        <f>SUM(D14:D25)</f>
        <v>-12303.879999999992</v>
      </c>
    </row>
    <row r="14" spans="1:4" ht="12.75" hidden="1">
      <c r="A14" s="9" t="s">
        <v>25</v>
      </c>
      <c r="B14" s="8">
        <v>16677.52</v>
      </c>
      <c r="C14" s="8">
        <v>13132.47</v>
      </c>
      <c r="D14" s="8">
        <f aca="true" t="shared" si="0" ref="D14:D25">B14-C14</f>
        <v>3545.050000000001</v>
      </c>
    </row>
    <row r="15" spans="1:4" ht="12.75" hidden="1">
      <c r="A15" s="9" t="s">
        <v>13</v>
      </c>
      <c r="B15" s="8">
        <v>16677.52</v>
      </c>
      <c r="C15" s="13">
        <v>14618.38</v>
      </c>
      <c r="D15" s="8">
        <f t="shared" si="0"/>
        <v>2059.1400000000012</v>
      </c>
    </row>
    <row r="16" spans="1:4" ht="12.75" hidden="1">
      <c r="A16" s="9" t="s">
        <v>14</v>
      </c>
      <c r="B16" s="8">
        <v>16677.52</v>
      </c>
      <c r="C16" s="13">
        <v>19403.39</v>
      </c>
      <c r="D16" s="8">
        <f t="shared" si="0"/>
        <v>-2725.869999999999</v>
      </c>
    </row>
    <row r="17" spans="1:4" ht="12.75" hidden="1">
      <c r="A17" s="9" t="s">
        <v>15</v>
      </c>
      <c r="B17" s="8">
        <v>16677.52</v>
      </c>
      <c r="C17" s="13">
        <v>9876.37</v>
      </c>
      <c r="D17" s="8">
        <f t="shared" si="0"/>
        <v>6801.15</v>
      </c>
    </row>
    <row r="18" spans="1:4" ht="12.75" hidden="1">
      <c r="A18" s="9" t="s">
        <v>16</v>
      </c>
      <c r="B18" s="8">
        <v>16677.52</v>
      </c>
      <c r="C18" s="13">
        <v>13173.69</v>
      </c>
      <c r="D18" s="8">
        <f t="shared" si="0"/>
        <v>3503.83</v>
      </c>
    </row>
    <row r="19" spans="1:4" ht="12.75" hidden="1">
      <c r="A19" s="9" t="s">
        <v>17</v>
      </c>
      <c r="B19" s="8">
        <v>16677.52</v>
      </c>
      <c r="C19" s="13">
        <v>24710.46</v>
      </c>
      <c r="D19" s="8">
        <f t="shared" si="0"/>
        <v>-8032.939999999999</v>
      </c>
    </row>
    <row r="20" spans="1:4" ht="12.75" hidden="1">
      <c r="A20" s="9" t="s">
        <v>18</v>
      </c>
      <c r="B20" s="8">
        <v>16677.52</v>
      </c>
      <c r="C20" s="13">
        <v>13732.42</v>
      </c>
      <c r="D20" s="8">
        <f t="shared" si="0"/>
        <v>2945.1000000000004</v>
      </c>
    </row>
    <row r="21" spans="1:4" ht="12.75" hidden="1">
      <c r="A21" s="9" t="s">
        <v>19</v>
      </c>
      <c r="B21" s="13">
        <v>18344.2</v>
      </c>
      <c r="C21" s="13">
        <v>29563.69</v>
      </c>
      <c r="D21" s="8">
        <f t="shared" si="0"/>
        <v>-11219.489999999998</v>
      </c>
    </row>
    <row r="22" spans="1:4" ht="12.75" hidden="1">
      <c r="A22" s="9" t="s">
        <v>20</v>
      </c>
      <c r="B22" s="13">
        <v>18344.2</v>
      </c>
      <c r="C22" s="13">
        <v>29863.61</v>
      </c>
      <c r="D22" s="8">
        <f t="shared" si="0"/>
        <v>-11519.41</v>
      </c>
    </row>
    <row r="23" spans="1:4" ht="12.75" hidden="1">
      <c r="A23" s="9" t="s">
        <v>21</v>
      </c>
      <c r="B23" s="13">
        <v>18344.2</v>
      </c>
      <c r="C23" s="13">
        <v>17674.59</v>
      </c>
      <c r="D23" s="13">
        <f t="shared" si="0"/>
        <v>669.6100000000006</v>
      </c>
    </row>
    <row r="24" spans="1:4" ht="12.75" hidden="1">
      <c r="A24" s="9" t="s">
        <v>22</v>
      </c>
      <c r="B24" s="13">
        <v>18344.2</v>
      </c>
      <c r="C24" s="13">
        <v>17022.74</v>
      </c>
      <c r="D24" s="13">
        <f t="shared" si="0"/>
        <v>1321.4599999999991</v>
      </c>
    </row>
    <row r="25" spans="1:4" ht="12.75" hidden="1">
      <c r="A25" s="9" t="s">
        <v>23</v>
      </c>
      <c r="B25" s="13">
        <v>18344.2</v>
      </c>
      <c r="C25" s="13">
        <v>17995.71</v>
      </c>
      <c r="D25" s="13">
        <f t="shared" si="0"/>
        <v>348.4900000000016</v>
      </c>
    </row>
    <row r="26" spans="1:4" ht="12.75">
      <c r="A26" s="7" t="s">
        <v>24</v>
      </c>
      <c r="B26" s="8">
        <f>SUM(B27:B38)</f>
        <v>180.24</v>
      </c>
      <c r="C26" s="8">
        <f>SUM(C27:C38)</f>
        <v>212.65000000000003</v>
      </c>
      <c r="D26" s="8">
        <f>SUM(D27:D38)</f>
        <v>-32.410000000000004</v>
      </c>
    </row>
    <row r="27" spans="1:4" ht="12.75" customHeight="1" hidden="1">
      <c r="A27" s="9" t="s">
        <v>25</v>
      </c>
      <c r="B27" s="8">
        <v>15.02</v>
      </c>
      <c r="C27" s="8">
        <v>9.94</v>
      </c>
      <c r="D27" s="8">
        <f aca="true" t="shared" si="1" ref="D27:D38">B27-C27</f>
        <v>5.08</v>
      </c>
    </row>
    <row r="28" spans="1:4" ht="12.75" customHeight="1" hidden="1">
      <c r="A28" s="9" t="s">
        <v>13</v>
      </c>
      <c r="B28" s="8">
        <v>15.02</v>
      </c>
      <c r="C28" s="13">
        <v>14.59</v>
      </c>
      <c r="D28" s="8">
        <f t="shared" si="1"/>
        <v>0.4299999999999997</v>
      </c>
    </row>
    <row r="29" spans="1:4" ht="12.75" customHeight="1" hidden="1">
      <c r="A29" s="9" t="s">
        <v>14</v>
      </c>
      <c r="B29" s="8">
        <v>15.02</v>
      </c>
      <c r="C29" s="13">
        <v>6.95</v>
      </c>
      <c r="D29" s="8">
        <f t="shared" si="1"/>
        <v>8.07</v>
      </c>
    </row>
    <row r="30" spans="1:4" ht="12.75" customHeight="1" hidden="1">
      <c r="A30" s="9" t="s">
        <v>15</v>
      </c>
      <c r="B30" s="8">
        <v>15.02</v>
      </c>
      <c r="C30" s="13">
        <v>3.86</v>
      </c>
      <c r="D30" s="8">
        <f t="shared" si="1"/>
        <v>11.16</v>
      </c>
    </row>
    <row r="31" spans="1:4" ht="12.75" customHeight="1" hidden="1">
      <c r="A31" s="9" t="s">
        <v>16</v>
      </c>
      <c r="B31" s="8">
        <v>15.02</v>
      </c>
      <c r="C31" s="13">
        <v>6.28</v>
      </c>
      <c r="D31" s="8">
        <f t="shared" si="1"/>
        <v>8.739999999999998</v>
      </c>
    </row>
    <row r="32" spans="1:4" ht="12.75" customHeight="1" hidden="1">
      <c r="A32" s="9" t="s">
        <v>17</v>
      </c>
      <c r="B32" s="8">
        <v>15.02</v>
      </c>
      <c r="C32" s="13">
        <v>29</v>
      </c>
      <c r="D32" s="8">
        <f t="shared" si="1"/>
        <v>-13.98</v>
      </c>
    </row>
    <row r="33" spans="1:4" ht="12.75" customHeight="1" hidden="1">
      <c r="A33" s="9" t="s">
        <v>18</v>
      </c>
      <c r="B33" s="8">
        <v>15.02</v>
      </c>
      <c r="C33" s="13">
        <v>20.18</v>
      </c>
      <c r="D33" s="8">
        <f t="shared" si="1"/>
        <v>-5.16</v>
      </c>
    </row>
    <row r="34" spans="1:4" ht="12.75" customHeight="1" hidden="1">
      <c r="A34" s="9" t="s">
        <v>19</v>
      </c>
      <c r="B34" s="8">
        <v>15.02</v>
      </c>
      <c r="C34" s="13">
        <v>53.17</v>
      </c>
      <c r="D34" s="8">
        <f t="shared" si="1"/>
        <v>-38.150000000000006</v>
      </c>
    </row>
    <row r="35" spans="1:4" ht="12.75" customHeight="1" hidden="1">
      <c r="A35" s="9" t="s">
        <v>20</v>
      </c>
      <c r="B35" s="8">
        <v>15.02</v>
      </c>
      <c r="C35" s="13">
        <v>21.93</v>
      </c>
      <c r="D35" s="8">
        <f t="shared" si="1"/>
        <v>-6.91</v>
      </c>
    </row>
    <row r="36" spans="1:4" ht="12.75" customHeight="1" hidden="1">
      <c r="A36" s="9" t="s">
        <v>21</v>
      </c>
      <c r="B36" s="8">
        <v>15.02</v>
      </c>
      <c r="C36" s="13">
        <v>19.26</v>
      </c>
      <c r="D36" s="13">
        <f t="shared" si="1"/>
        <v>-4.240000000000002</v>
      </c>
    </row>
    <row r="37" spans="1:4" ht="12.75" customHeight="1" hidden="1">
      <c r="A37" s="9" t="s">
        <v>22</v>
      </c>
      <c r="B37" s="8">
        <v>15.02</v>
      </c>
      <c r="C37" s="13">
        <v>12.46</v>
      </c>
      <c r="D37" s="13">
        <f t="shared" si="1"/>
        <v>2.5599999999999987</v>
      </c>
    </row>
    <row r="38" spans="1:4" ht="12.75" customHeight="1" hidden="1">
      <c r="A38" s="9" t="s">
        <v>23</v>
      </c>
      <c r="B38" s="8">
        <v>15.02</v>
      </c>
      <c r="C38" s="13">
        <v>15.03</v>
      </c>
      <c r="D38" s="13">
        <f t="shared" si="1"/>
        <v>-0.009999999999999787</v>
      </c>
    </row>
    <row r="39" spans="1:4" ht="12.75" customHeight="1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customHeight="1" hidden="1">
      <c r="A40" s="9" t="s">
        <v>22</v>
      </c>
      <c r="B40" s="13"/>
      <c r="C40" s="13"/>
      <c r="D40" s="13">
        <f>B40-C40</f>
        <v>0</v>
      </c>
    </row>
    <row r="41" spans="1:4" ht="12.75" customHeight="1" hidden="1">
      <c r="A41" s="9" t="s">
        <v>23</v>
      </c>
      <c r="B41" s="13"/>
      <c r="C41" s="13"/>
      <c r="D41" s="13">
        <f>B41-C41</f>
        <v>0</v>
      </c>
    </row>
    <row r="42" spans="1:4" ht="12.75" customHeight="1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customHeight="1" hidden="1">
      <c r="A43" s="9" t="s">
        <v>19</v>
      </c>
      <c r="B43" s="8"/>
      <c r="C43" s="8"/>
      <c r="D43" s="8">
        <f>B43-C43</f>
        <v>0</v>
      </c>
    </row>
    <row r="44" spans="1:4" ht="12.75" customHeight="1" hidden="1">
      <c r="A44" s="9" t="s">
        <v>20</v>
      </c>
      <c r="B44" s="13"/>
      <c r="C44" s="13"/>
      <c r="D44" s="8">
        <f>B44-C44</f>
        <v>0</v>
      </c>
    </row>
    <row r="45" spans="1:4" ht="12.75" customHeight="1" hidden="1">
      <c r="A45" s="9" t="s">
        <v>21</v>
      </c>
      <c r="B45" s="13"/>
      <c r="C45" s="13"/>
      <c r="D45" s="13">
        <f>B45-C45</f>
        <v>0</v>
      </c>
    </row>
    <row r="46" spans="1:4" ht="12.75" customHeight="1" hidden="1">
      <c r="A46" s="9" t="s">
        <v>22</v>
      </c>
      <c r="B46" s="13"/>
      <c r="C46" s="13"/>
      <c r="D46" s="13">
        <f>B46-C46</f>
        <v>0</v>
      </c>
    </row>
    <row r="47" spans="1:4" ht="12.75" customHeight="1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B13+B26+B39+B42</f>
        <v>208643.88000000006</v>
      </c>
      <c r="C48" s="8">
        <f>C13+C26+C39+C42</f>
        <v>220980.16999999995</v>
      </c>
      <c r="D48" s="8">
        <f>D13+D26+D39+D42</f>
        <v>-12336.289999999992</v>
      </c>
    </row>
    <row r="50" spans="1:4" ht="12.75">
      <c r="A50" t="s">
        <v>27</v>
      </c>
      <c r="D50" s="12">
        <f>D48</f>
        <v>-12336.289999999992</v>
      </c>
    </row>
    <row r="52" spans="1:4" ht="12.75">
      <c r="A52" s="11" t="s">
        <v>28</v>
      </c>
      <c r="D52" s="12">
        <f>D53+D54</f>
        <v>20254.859</v>
      </c>
    </row>
    <row r="53" spans="1:4" ht="12.75" hidden="1">
      <c r="A53" s="11" t="s">
        <v>29</v>
      </c>
      <c r="D53" s="12">
        <f>(2.75*2*D5)+(1.1*5*D5)+(1.21*5*D5)</f>
        <v>17327.915</v>
      </c>
    </row>
    <row r="54" spans="1:4" ht="12.75" hidden="1">
      <c r="A54" s="11" t="s">
        <v>30</v>
      </c>
      <c r="D54" s="12">
        <f>(0.24*12*D5)</f>
        <v>2926.944</v>
      </c>
    </row>
    <row r="55" spans="1:4" ht="12.75">
      <c r="A55" s="11" t="s">
        <v>31</v>
      </c>
      <c r="D55" s="12">
        <f>(0.66*2*D5)</f>
        <v>1341.516</v>
      </c>
    </row>
    <row r="56" spans="1:4" ht="12.75">
      <c r="A56" s="11" t="s">
        <v>81</v>
      </c>
      <c r="D56" s="12">
        <f>(0.5*1*D5)+(0.55*1*D5)+(0.6*1*D5)</f>
        <v>1676.895</v>
      </c>
    </row>
    <row r="57" spans="1:4" ht="12.75">
      <c r="A57" s="11" t="s">
        <v>90</v>
      </c>
      <c r="D57" s="12">
        <f>(2.2*7*D5)+(2.42*5*D5)</f>
        <v>27948.25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(0.72*1*D5)+(0.79*1*D5)</f>
        <v>1534.6129999999998</v>
      </c>
    </row>
    <row r="60" spans="1:4" ht="12.75">
      <c r="A60" s="11" t="s">
        <v>34</v>
      </c>
      <c r="D60" s="12">
        <f>(2*2*D5)+(1.2*5*D5)+(1.32*5*D5)</f>
        <v>16870.58</v>
      </c>
    </row>
    <row r="61" spans="1:4" ht="12.75">
      <c r="A61" s="11" t="s">
        <v>35</v>
      </c>
      <c r="D61" s="12">
        <f>(3*2*D5)+(4.1*5*D5)+(4.51*5*D5)</f>
        <v>49849.51499999999</v>
      </c>
    </row>
    <row r="62" spans="1:4" ht="12.75">
      <c r="A62" s="11" t="s">
        <v>36</v>
      </c>
      <c r="D62" s="12">
        <f>(0.24*7*D5)+(0.22*0*D5)+(0.26*5*D5)</f>
        <v>3028.5739999999996</v>
      </c>
    </row>
    <row r="63" spans="1:7" ht="12.75">
      <c r="A63" s="11" t="s">
        <v>79</v>
      </c>
      <c r="D63" s="12">
        <f>(0.77*2*D5)+(3.2*5*D5)+(3.52*5*D5)</f>
        <v>35712.782</v>
      </c>
      <c r="G63" s="17"/>
    </row>
    <row r="64" spans="1:7" ht="12.75">
      <c r="A64" s="11" t="s">
        <v>37</v>
      </c>
      <c r="D64" s="12">
        <f>2.25*12*D6</f>
        <v>648</v>
      </c>
      <c r="G64" s="17"/>
    </row>
    <row r="65" spans="1:4" ht="12.75">
      <c r="A65" s="11" t="s">
        <v>38</v>
      </c>
      <c r="D65" s="12">
        <v>1785</v>
      </c>
    </row>
    <row r="66" spans="1:7" ht="12.75">
      <c r="A66" s="11" t="s">
        <v>39</v>
      </c>
      <c r="D66" s="12">
        <f>(1.76*2*D5)+(0.47*5*D5)+(0.52*5*D5)</f>
        <v>8608.060999999998</v>
      </c>
      <c r="G66" s="17"/>
    </row>
    <row r="67" spans="1:7" ht="12.75" hidden="1">
      <c r="A67" s="15" t="s">
        <v>65</v>
      </c>
      <c r="D67" s="12">
        <v>0</v>
      </c>
      <c r="G67" s="17"/>
    </row>
    <row r="68" spans="1:7" ht="12.75">
      <c r="A68" s="11"/>
      <c r="D68" s="12"/>
      <c r="G68" s="17"/>
    </row>
    <row r="69" spans="1:7" ht="12.75">
      <c r="A69" s="11" t="s">
        <v>40</v>
      </c>
      <c r="D69" s="12">
        <f>D52+D55+D56+D57+D58+D59+D60+D61+D62+D63+D64+D65+D66+D67</f>
        <v>169258.645</v>
      </c>
      <c r="G69" s="17"/>
    </row>
    <row r="70" spans="1:4" ht="12.75">
      <c r="A70" s="11"/>
      <c r="D70" s="12"/>
    </row>
    <row r="71" spans="1:4" ht="12.75">
      <c r="A71" t="s">
        <v>72</v>
      </c>
      <c r="D71" s="12">
        <f>C48-D69</f>
        <v>51721.524999999965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89"/>
  <dimension ref="A3:G93"/>
  <sheetViews>
    <sheetView zoomScalePageLayoutView="0" workbookViewId="0" topLeftCell="A1">
      <selection activeCell="G75" sqref="G75:K75"/>
    </sheetView>
  </sheetViews>
  <sheetFormatPr defaultColWidth="9.140625" defaultRowHeight="12.75"/>
  <cols>
    <col min="1" max="1" width="13.8515625" style="0" customWidth="1"/>
    <col min="2" max="2" width="13.140625" style="0" customWidth="1"/>
    <col min="3" max="3" width="12.00390625" style="0" customWidth="1"/>
    <col min="4" max="4" width="12.421875" style="0" customWidth="1"/>
  </cols>
  <sheetData>
    <row r="3" spans="1:7" ht="12.75">
      <c r="A3" s="1" t="s">
        <v>0</v>
      </c>
      <c r="B3" s="2" t="s">
        <v>1</v>
      </c>
      <c r="C3" s="1" t="s">
        <v>66</v>
      </c>
      <c r="D3" s="1"/>
      <c r="E3" s="1" t="s">
        <v>2</v>
      </c>
      <c r="F3" s="3">
        <v>7</v>
      </c>
      <c r="G3">
        <v>2015</v>
      </c>
    </row>
    <row r="5" spans="1:5" ht="12.75">
      <c r="A5" t="s">
        <v>3</v>
      </c>
      <c r="D5" s="4">
        <v>1016.4</v>
      </c>
      <c r="E5" s="5" t="s">
        <v>41</v>
      </c>
    </row>
    <row r="6" spans="1:5" ht="12.75">
      <c r="A6" t="s">
        <v>4</v>
      </c>
      <c r="D6" s="4">
        <v>24</v>
      </c>
      <c r="E6" s="5"/>
    </row>
    <row r="7" spans="1:5" ht="12.75">
      <c r="A7" t="s">
        <v>5</v>
      </c>
      <c r="D7" s="4">
        <v>65</v>
      </c>
      <c r="E7" s="5" t="s">
        <v>6</v>
      </c>
    </row>
    <row r="8" spans="1:5" ht="12.75">
      <c r="A8" t="s">
        <v>7</v>
      </c>
      <c r="D8" s="4">
        <v>82.2</v>
      </c>
      <c r="E8" s="5" t="s">
        <v>41</v>
      </c>
    </row>
    <row r="9" spans="1:5" ht="12.75">
      <c r="A9" t="s">
        <v>8</v>
      </c>
      <c r="D9" s="4">
        <v>1723.5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208422.37000000005</v>
      </c>
      <c r="C13" s="8">
        <f>SUM(C14:C25)</f>
        <v>196479.16999999998</v>
      </c>
      <c r="D13" s="8">
        <f>SUM(D14:D25)</f>
        <v>11943.2</v>
      </c>
    </row>
    <row r="14" spans="1:4" ht="12.75" hidden="1">
      <c r="A14" s="9" t="s">
        <v>25</v>
      </c>
      <c r="B14" s="8">
        <v>16674.21</v>
      </c>
      <c r="C14" s="8">
        <v>14877.37</v>
      </c>
      <c r="D14" s="8">
        <f aca="true" t="shared" si="0" ref="D14:D25">B14-C14</f>
        <v>1796.8399999999983</v>
      </c>
    </row>
    <row r="15" spans="1:4" ht="12.75" hidden="1">
      <c r="A15" s="9" t="s">
        <v>13</v>
      </c>
      <c r="B15" s="8">
        <v>16674.21</v>
      </c>
      <c r="C15" s="13">
        <v>13909.28</v>
      </c>
      <c r="D15" s="8">
        <f t="shared" si="0"/>
        <v>2764.9299999999985</v>
      </c>
    </row>
    <row r="16" spans="1:4" ht="12.75" hidden="1">
      <c r="A16" s="9" t="s">
        <v>14</v>
      </c>
      <c r="B16" s="8">
        <v>16674.21</v>
      </c>
      <c r="C16" s="13">
        <v>24479.73</v>
      </c>
      <c r="D16" s="8">
        <f t="shared" si="0"/>
        <v>-7805.52</v>
      </c>
    </row>
    <row r="17" spans="1:4" ht="12.75" hidden="1">
      <c r="A17" s="9" t="s">
        <v>15</v>
      </c>
      <c r="B17" s="8">
        <v>16674.21</v>
      </c>
      <c r="C17" s="13">
        <v>12468.16</v>
      </c>
      <c r="D17" s="8">
        <f t="shared" si="0"/>
        <v>4206.049999999999</v>
      </c>
    </row>
    <row r="18" spans="1:4" ht="12.75" hidden="1">
      <c r="A18" s="9" t="s">
        <v>16</v>
      </c>
      <c r="B18" s="8">
        <v>16674.21</v>
      </c>
      <c r="C18" s="13">
        <v>18084.18</v>
      </c>
      <c r="D18" s="8">
        <f t="shared" si="0"/>
        <v>-1409.9700000000012</v>
      </c>
    </row>
    <row r="19" spans="1:4" ht="12.75" hidden="1">
      <c r="A19" s="9" t="s">
        <v>17</v>
      </c>
      <c r="B19" s="8">
        <v>16674.21</v>
      </c>
      <c r="C19" s="13">
        <v>13153.88</v>
      </c>
      <c r="D19" s="8">
        <f t="shared" si="0"/>
        <v>3520.33</v>
      </c>
    </row>
    <row r="20" spans="1:4" ht="12.75" hidden="1">
      <c r="A20" s="9" t="s">
        <v>18</v>
      </c>
      <c r="B20" s="8">
        <v>16674.21</v>
      </c>
      <c r="C20" s="13">
        <v>14835.14</v>
      </c>
      <c r="D20" s="8">
        <f t="shared" si="0"/>
        <v>1839.0699999999997</v>
      </c>
    </row>
    <row r="21" spans="1:4" ht="12.75" hidden="1">
      <c r="A21" s="9" t="s">
        <v>19</v>
      </c>
      <c r="B21" s="13">
        <v>18340.58</v>
      </c>
      <c r="C21" s="13">
        <v>16078.28</v>
      </c>
      <c r="D21" s="8">
        <f t="shared" si="0"/>
        <v>2262.300000000001</v>
      </c>
    </row>
    <row r="22" spans="1:4" ht="12.75" hidden="1">
      <c r="A22" s="9" t="s">
        <v>20</v>
      </c>
      <c r="B22" s="13">
        <v>18340.58</v>
      </c>
      <c r="C22" s="13">
        <v>18846.5</v>
      </c>
      <c r="D22" s="8">
        <f t="shared" si="0"/>
        <v>-505.91999999999825</v>
      </c>
    </row>
    <row r="23" spans="1:4" ht="12.75" hidden="1">
      <c r="A23" s="9" t="s">
        <v>21</v>
      </c>
      <c r="B23" s="13">
        <v>18340.58</v>
      </c>
      <c r="C23" s="13">
        <v>15570.77</v>
      </c>
      <c r="D23" s="13">
        <f t="shared" si="0"/>
        <v>2769.8100000000013</v>
      </c>
    </row>
    <row r="24" spans="1:4" ht="12.75" hidden="1">
      <c r="A24" s="9" t="s">
        <v>22</v>
      </c>
      <c r="B24" s="13">
        <v>18340.58</v>
      </c>
      <c r="C24" s="13">
        <v>17820.77</v>
      </c>
      <c r="D24" s="13">
        <f t="shared" si="0"/>
        <v>519.8100000000013</v>
      </c>
    </row>
    <row r="25" spans="1:4" ht="12.75" hidden="1">
      <c r="A25" s="9" t="s">
        <v>23</v>
      </c>
      <c r="B25" s="13">
        <v>18340.58</v>
      </c>
      <c r="C25" s="13">
        <v>16355.11</v>
      </c>
      <c r="D25" s="13">
        <f t="shared" si="0"/>
        <v>1985.4700000000012</v>
      </c>
    </row>
    <row r="26" spans="1:4" ht="12.75">
      <c r="A26" s="7" t="s">
        <v>24</v>
      </c>
      <c r="B26" s="8">
        <f>SUM(B27:B38)</f>
        <v>83.16</v>
      </c>
      <c r="C26" s="8">
        <f>SUM(C27:C38)</f>
        <v>84.66000000000003</v>
      </c>
      <c r="D26" s="8">
        <f>SUM(D27:D38)</f>
        <v>-1.5000000000000009</v>
      </c>
    </row>
    <row r="27" spans="1:4" ht="12.75" hidden="1">
      <c r="A27" s="9" t="s">
        <v>25</v>
      </c>
      <c r="B27" s="8">
        <v>6.93</v>
      </c>
      <c r="C27" s="8">
        <v>7.33</v>
      </c>
      <c r="D27" s="8">
        <f aca="true" t="shared" si="1" ref="D27:D38">B27-C27</f>
        <v>-0.40000000000000036</v>
      </c>
    </row>
    <row r="28" spans="1:4" ht="12.75" hidden="1">
      <c r="A28" s="9" t="s">
        <v>13</v>
      </c>
      <c r="B28" s="8">
        <v>6.93</v>
      </c>
      <c r="C28" s="8">
        <v>7.22</v>
      </c>
      <c r="D28" s="8">
        <f t="shared" si="1"/>
        <v>-0.29000000000000004</v>
      </c>
    </row>
    <row r="29" spans="1:4" ht="12.75" hidden="1">
      <c r="A29" s="9" t="s">
        <v>14</v>
      </c>
      <c r="B29" s="8">
        <v>6.93</v>
      </c>
      <c r="C29" s="13">
        <v>7.15</v>
      </c>
      <c r="D29" s="8">
        <f t="shared" si="1"/>
        <v>-0.22000000000000064</v>
      </c>
    </row>
    <row r="30" spans="1:4" ht="12.75" hidden="1">
      <c r="A30" s="9" t="s">
        <v>15</v>
      </c>
      <c r="B30" s="8">
        <v>6.93</v>
      </c>
      <c r="C30" s="13">
        <v>4.43</v>
      </c>
      <c r="D30" s="8">
        <f t="shared" si="1"/>
        <v>2.5</v>
      </c>
    </row>
    <row r="31" spans="1:4" ht="12.75" hidden="1">
      <c r="A31" s="9" t="s">
        <v>16</v>
      </c>
      <c r="B31" s="8">
        <v>6.93</v>
      </c>
      <c r="C31" s="13">
        <v>10.02</v>
      </c>
      <c r="D31" s="8">
        <f t="shared" si="1"/>
        <v>-3.09</v>
      </c>
    </row>
    <row r="32" spans="1:4" ht="12.75" hidden="1">
      <c r="A32" s="9" t="s">
        <v>17</v>
      </c>
      <c r="B32" s="8">
        <v>6.93</v>
      </c>
      <c r="C32" s="8">
        <v>6.93</v>
      </c>
      <c r="D32" s="8">
        <f t="shared" si="1"/>
        <v>0</v>
      </c>
    </row>
    <row r="33" spans="1:4" ht="12.75" hidden="1">
      <c r="A33" s="9" t="s">
        <v>18</v>
      </c>
      <c r="B33" s="8">
        <v>6.93</v>
      </c>
      <c r="C33" s="8">
        <v>6.93</v>
      </c>
      <c r="D33" s="8">
        <f t="shared" si="1"/>
        <v>0</v>
      </c>
    </row>
    <row r="34" spans="1:4" ht="12.75" hidden="1">
      <c r="A34" s="9" t="s">
        <v>19</v>
      </c>
      <c r="B34" s="8">
        <v>6.93</v>
      </c>
      <c r="C34" s="13">
        <v>6.3</v>
      </c>
      <c r="D34" s="8">
        <f t="shared" si="1"/>
        <v>0.6299999999999999</v>
      </c>
    </row>
    <row r="35" spans="1:4" ht="12.75" hidden="1">
      <c r="A35" s="9" t="s">
        <v>20</v>
      </c>
      <c r="B35" s="8">
        <v>6.93</v>
      </c>
      <c r="C35" s="13">
        <v>7.56</v>
      </c>
      <c r="D35" s="8">
        <f t="shared" si="1"/>
        <v>-0.6299999999999999</v>
      </c>
    </row>
    <row r="36" spans="1:4" ht="12.75" hidden="1">
      <c r="A36" s="9" t="s">
        <v>21</v>
      </c>
      <c r="B36" s="8">
        <v>6.93</v>
      </c>
      <c r="C36" s="8">
        <v>6.93</v>
      </c>
      <c r="D36" s="13">
        <f t="shared" si="1"/>
        <v>0</v>
      </c>
    </row>
    <row r="37" spans="1:4" ht="12.75" hidden="1">
      <c r="A37" s="9" t="s">
        <v>22</v>
      </c>
      <c r="B37" s="8">
        <v>6.93</v>
      </c>
      <c r="C37" s="8">
        <v>6.93</v>
      </c>
      <c r="D37" s="13">
        <f t="shared" si="1"/>
        <v>0</v>
      </c>
    </row>
    <row r="38" spans="1:4" ht="12.75" hidden="1">
      <c r="A38" s="9" t="s">
        <v>23</v>
      </c>
      <c r="B38" s="8">
        <v>6.93</v>
      </c>
      <c r="C38" s="8">
        <v>6.93</v>
      </c>
      <c r="D38" s="13">
        <f t="shared" si="1"/>
        <v>0</v>
      </c>
    </row>
    <row r="39" spans="1:4" ht="13.5" customHeight="1" hidden="1">
      <c r="A39" s="7" t="s">
        <v>42</v>
      </c>
      <c r="B39" s="8">
        <f>SUM(B40:B51)</f>
        <v>0</v>
      </c>
      <c r="C39" s="8">
        <f>SUM(C40:C51)</f>
        <v>0</v>
      </c>
      <c r="D39" s="8">
        <f>SUM(D40:D51)</f>
        <v>0</v>
      </c>
    </row>
    <row r="40" spans="1:4" ht="13.5" customHeight="1" hidden="1">
      <c r="A40" s="9" t="s">
        <v>25</v>
      </c>
      <c r="B40" s="8"/>
      <c r="C40" s="8"/>
      <c r="D40" s="8">
        <f aca="true" t="shared" si="2" ref="D40:D46">B40-C40</f>
        <v>0</v>
      </c>
    </row>
    <row r="41" spans="1:4" ht="13.5" customHeight="1" hidden="1">
      <c r="A41" s="9" t="s">
        <v>13</v>
      </c>
      <c r="B41" s="13"/>
      <c r="C41" s="13"/>
      <c r="D41" s="8">
        <f t="shared" si="2"/>
        <v>0</v>
      </c>
    </row>
    <row r="42" spans="1:4" ht="13.5" customHeight="1" hidden="1">
      <c r="A42" s="9" t="s">
        <v>14</v>
      </c>
      <c r="B42" s="13"/>
      <c r="C42" s="13"/>
      <c r="D42" s="8">
        <f t="shared" si="2"/>
        <v>0</v>
      </c>
    </row>
    <row r="43" spans="1:4" ht="13.5" customHeight="1" hidden="1">
      <c r="A43" s="9" t="s">
        <v>15</v>
      </c>
      <c r="B43" s="13"/>
      <c r="C43" s="13"/>
      <c r="D43" s="8">
        <f t="shared" si="2"/>
        <v>0</v>
      </c>
    </row>
    <row r="44" spans="1:4" ht="13.5" customHeight="1" hidden="1">
      <c r="A44" s="9" t="s">
        <v>16</v>
      </c>
      <c r="B44" s="13"/>
      <c r="C44" s="13"/>
      <c r="D44" s="8">
        <f t="shared" si="2"/>
        <v>0</v>
      </c>
    </row>
    <row r="45" spans="1:4" ht="13.5" customHeight="1" hidden="1">
      <c r="A45" s="9" t="s">
        <v>17</v>
      </c>
      <c r="B45" s="13"/>
      <c r="C45" s="13"/>
      <c r="D45" s="8">
        <f t="shared" si="2"/>
        <v>0</v>
      </c>
    </row>
    <row r="46" spans="1:4" ht="13.5" customHeight="1" hidden="1">
      <c r="A46" s="9" t="s">
        <v>18</v>
      </c>
      <c r="B46" s="13"/>
      <c r="C46" s="13"/>
      <c r="D46" s="8">
        <f t="shared" si="2"/>
        <v>0</v>
      </c>
    </row>
    <row r="47" spans="1:4" ht="13.5" customHeight="1" hidden="1">
      <c r="A47" s="9" t="s">
        <v>19</v>
      </c>
      <c r="B47" s="8"/>
      <c r="C47" s="8"/>
      <c r="D47" s="8">
        <f>B47-C47</f>
        <v>0</v>
      </c>
    </row>
    <row r="48" spans="1:4" ht="13.5" customHeight="1" hidden="1">
      <c r="A48" s="9" t="s">
        <v>20</v>
      </c>
      <c r="B48" s="13"/>
      <c r="C48" s="13"/>
      <c r="D48" s="8">
        <f>B48-C48</f>
        <v>0</v>
      </c>
    </row>
    <row r="49" spans="1:4" ht="13.5" customHeight="1" hidden="1">
      <c r="A49" s="9" t="s">
        <v>21</v>
      </c>
      <c r="B49" s="13"/>
      <c r="C49" s="13"/>
      <c r="D49" s="13">
        <f>B49-C49</f>
        <v>0</v>
      </c>
    </row>
    <row r="50" spans="1:4" ht="12.75" hidden="1">
      <c r="A50" s="9" t="s">
        <v>22</v>
      </c>
      <c r="B50" s="13"/>
      <c r="C50" s="13"/>
      <c r="D50" s="13">
        <f>B50-C50</f>
        <v>0</v>
      </c>
    </row>
    <row r="51" spans="1:4" ht="12.75" hidden="1">
      <c r="A51" s="9" t="s">
        <v>23</v>
      </c>
      <c r="B51" s="13"/>
      <c r="C51" s="13"/>
      <c r="D51" s="13">
        <f>B51-C51</f>
        <v>0</v>
      </c>
    </row>
    <row r="52" spans="1:4" ht="12.75" hidden="1">
      <c r="A52" s="7" t="s">
        <v>43</v>
      </c>
      <c r="B52" s="13">
        <f>B53+B54+B55+B56+B57</f>
        <v>0</v>
      </c>
      <c r="C52" s="13">
        <f>C53+C54+C55+C56+C57</f>
        <v>0</v>
      </c>
      <c r="D52" s="13">
        <f>SUM(D53:D57)</f>
        <v>0</v>
      </c>
    </row>
    <row r="53" spans="1:4" ht="12.75" hidden="1">
      <c r="A53" s="9" t="s">
        <v>19</v>
      </c>
      <c r="B53" s="8"/>
      <c r="C53" s="8"/>
      <c r="D53" s="8">
        <f>B53-C53</f>
        <v>0</v>
      </c>
    </row>
    <row r="54" spans="1:4" ht="12.75" hidden="1">
      <c r="A54" s="9" t="s">
        <v>20</v>
      </c>
      <c r="B54" s="13"/>
      <c r="C54" s="13"/>
      <c r="D54" s="8">
        <f>B54-C54</f>
        <v>0</v>
      </c>
    </row>
    <row r="55" spans="1:4" ht="12.75" hidden="1">
      <c r="A55" s="9" t="s">
        <v>21</v>
      </c>
      <c r="B55" s="13"/>
      <c r="C55" s="13"/>
      <c r="D55" s="13">
        <f>B55-C55</f>
        <v>0</v>
      </c>
    </row>
    <row r="56" spans="1:4" ht="12.75" hidden="1">
      <c r="A56" s="9" t="s">
        <v>22</v>
      </c>
      <c r="B56" s="13"/>
      <c r="C56" s="13"/>
      <c r="D56" s="13">
        <f>B56-C56</f>
        <v>0</v>
      </c>
    </row>
    <row r="57" spans="1:4" ht="12.75" hidden="1">
      <c r="A57" s="9" t="s">
        <v>23</v>
      </c>
      <c r="B57" s="13"/>
      <c r="C57" s="13"/>
      <c r="D57" s="13">
        <f>B57-C57</f>
        <v>0</v>
      </c>
    </row>
    <row r="58" spans="1:4" ht="12.75">
      <c r="A58" s="9" t="s">
        <v>26</v>
      </c>
      <c r="B58" s="8">
        <f>B13+B26</f>
        <v>208505.53000000006</v>
      </c>
      <c r="C58" s="8">
        <f>C13+C26</f>
        <v>196563.83</v>
      </c>
      <c r="D58" s="8">
        <f>D13+D26</f>
        <v>11941.7</v>
      </c>
    </row>
    <row r="60" spans="1:4" ht="12.75">
      <c r="A60" t="s">
        <v>27</v>
      </c>
      <c r="D60" s="12">
        <f>D58</f>
        <v>11941.7</v>
      </c>
    </row>
    <row r="62" spans="1:4" ht="12.75">
      <c r="A62" s="11" t="s">
        <v>28</v>
      </c>
      <c r="D62" s="12">
        <f>D63+D64</f>
        <v>20256.852</v>
      </c>
    </row>
    <row r="63" spans="1:4" ht="12.75" hidden="1">
      <c r="A63" s="11" t="s">
        <v>29</v>
      </c>
      <c r="D63" s="12">
        <f>(2.75*2*D5)+(1.1*5*D5)+(1.21*5*D5)</f>
        <v>17329.62</v>
      </c>
    </row>
    <row r="64" spans="1:4" ht="12.75" hidden="1">
      <c r="A64" s="11" t="s">
        <v>30</v>
      </c>
      <c r="D64" s="12">
        <f>(0.24*12*D5)</f>
        <v>2927.232</v>
      </c>
    </row>
    <row r="65" spans="1:4" ht="12.75">
      <c r="A65" s="11" t="s">
        <v>31</v>
      </c>
      <c r="D65" s="12">
        <f>(0.66*2*D5)</f>
        <v>1341.6480000000001</v>
      </c>
    </row>
    <row r="66" spans="1:4" ht="12.75">
      <c r="A66" s="11" t="s">
        <v>81</v>
      </c>
      <c r="D66" s="12">
        <f>(0.5*1*D5)+(0.55*1*D5)+(0.6*1*D5)</f>
        <v>1677.06</v>
      </c>
    </row>
    <row r="67" spans="1:4" ht="12.75">
      <c r="A67" s="11" t="s">
        <v>90</v>
      </c>
      <c r="D67" s="12">
        <f>(2.2*7*D5)+(2.42*5*D5)</f>
        <v>27951</v>
      </c>
    </row>
    <row r="68" spans="1:4" ht="12.75" hidden="1">
      <c r="A68" s="11" t="s">
        <v>33</v>
      </c>
      <c r="D68" s="12">
        <v>0</v>
      </c>
    </row>
    <row r="69" spans="1:4" ht="12.75">
      <c r="A69" s="11" t="s">
        <v>80</v>
      </c>
      <c r="D69" s="12">
        <f>(0.72*1*D5)+(0.79*1*D5)</f>
        <v>1534.7640000000001</v>
      </c>
    </row>
    <row r="70" spans="1:4" ht="12.75">
      <c r="A70" s="11" t="s">
        <v>34</v>
      </c>
      <c r="D70" s="12">
        <f>(2*2*D5)+(1.2*5*D5)+(1.32*5*D5)</f>
        <v>16872.24</v>
      </c>
    </row>
    <row r="71" spans="1:4" ht="12.75">
      <c r="A71" s="11" t="s">
        <v>35</v>
      </c>
      <c r="D71" s="12">
        <f>(3*2*D5)+(4.1*5*D5)+(4.51*5*D5)</f>
        <v>49854.42</v>
      </c>
    </row>
    <row r="72" spans="1:4" ht="12.75">
      <c r="A72" s="11" t="s">
        <v>36</v>
      </c>
      <c r="D72" s="12">
        <f>(0.24*7*D5)+(0.22*0*D5)+(0.26*5*D5)</f>
        <v>3028.872</v>
      </c>
    </row>
    <row r="73" spans="1:4" ht="12.75">
      <c r="A73" s="11" t="s">
        <v>79</v>
      </c>
      <c r="D73" s="12">
        <f>(0.77*2*D5)+(3.2*5*D5)+(3.52*5*D5)</f>
        <v>35716.296</v>
      </c>
    </row>
    <row r="74" spans="1:7" ht="12.75">
      <c r="A74" s="11" t="s">
        <v>37</v>
      </c>
      <c r="D74" s="12">
        <f>2.25*12*D6</f>
        <v>648</v>
      </c>
      <c r="G74" s="17"/>
    </row>
    <row r="75" spans="1:4" ht="12.75">
      <c r="A75" s="11" t="s">
        <v>38</v>
      </c>
      <c r="D75" s="12">
        <v>1785</v>
      </c>
    </row>
    <row r="76" spans="1:4" ht="12.75">
      <c r="A76" s="11" t="s">
        <v>39</v>
      </c>
      <c r="D76" s="12">
        <f>(1.76*2*D5)+(0.47*5*D5)+(0.52*5*D5)</f>
        <v>8608.908</v>
      </c>
    </row>
    <row r="77" spans="1:4" ht="12.75" hidden="1">
      <c r="A77" s="15" t="s">
        <v>65</v>
      </c>
      <c r="D77" s="12">
        <v>0</v>
      </c>
    </row>
    <row r="78" spans="1:7" ht="12.75">
      <c r="A78" s="11"/>
      <c r="D78" s="12"/>
      <c r="G78" s="17"/>
    </row>
    <row r="79" spans="1:7" ht="12.75">
      <c r="A79" s="11" t="s">
        <v>40</v>
      </c>
      <c r="D79" s="12">
        <f>D62+D65+D66+D67+D68+D69+D70+D71+D72+D73+D74+D75+D76+D77</f>
        <v>169275.06</v>
      </c>
      <c r="G79" s="17"/>
    </row>
    <row r="80" spans="1:4" ht="12.75">
      <c r="A80" s="11"/>
      <c r="D80" s="12"/>
    </row>
    <row r="81" spans="1:4" ht="12.75">
      <c r="A81" t="s">
        <v>72</v>
      </c>
      <c r="D81" s="12">
        <f>C58-D79</f>
        <v>27288.76999999999</v>
      </c>
    </row>
    <row r="84" ht="12.75">
      <c r="A84" s="11" t="s">
        <v>38</v>
      </c>
    </row>
    <row r="86" spans="1:2" ht="12.75">
      <c r="A86" s="17">
        <v>3009</v>
      </c>
      <c r="B86" t="s">
        <v>120</v>
      </c>
    </row>
    <row r="87" spans="1:2" ht="12.75">
      <c r="A87">
        <v>1388</v>
      </c>
      <c r="B87" t="s">
        <v>110</v>
      </c>
    </row>
    <row r="88" spans="1:2" ht="12.75">
      <c r="A88">
        <v>1339</v>
      </c>
      <c r="B88" t="s">
        <v>116</v>
      </c>
    </row>
    <row r="89" spans="1:2" ht="12.75">
      <c r="A89" s="17">
        <v>4730</v>
      </c>
      <c r="B89" t="s">
        <v>121</v>
      </c>
    </row>
    <row r="90" spans="1:2" ht="12.75">
      <c r="A90">
        <v>4313</v>
      </c>
      <c r="B90" t="s">
        <v>97</v>
      </c>
    </row>
    <row r="91" spans="1:2" ht="12.75">
      <c r="A91">
        <v>16942</v>
      </c>
      <c r="B91" t="s">
        <v>128</v>
      </c>
    </row>
    <row r="93" ht="12.75">
      <c r="A93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3:H95"/>
  <sheetViews>
    <sheetView zoomScalePageLayoutView="0" workbookViewId="0" topLeftCell="A13">
      <selection activeCell="G64" sqref="G64:J75"/>
    </sheetView>
  </sheetViews>
  <sheetFormatPr defaultColWidth="9.140625" defaultRowHeight="12.75"/>
  <cols>
    <col min="1" max="1" width="14.28125" style="0" customWidth="1"/>
    <col min="2" max="2" width="13.57421875" style="0" customWidth="1"/>
    <col min="3" max="3" width="14.140625" style="0" customWidth="1"/>
    <col min="4" max="4" width="14.28125" style="0" customWidth="1"/>
  </cols>
  <sheetData>
    <row r="3" spans="1:7" ht="12.75">
      <c r="A3" s="1" t="s">
        <v>0</v>
      </c>
      <c r="B3" s="2" t="s">
        <v>1</v>
      </c>
      <c r="C3" s="1" t="s">
        <v>45</v>
      </c>
      <c r="D3" s="1"/>
      <c r="E3" s="1" t="s">
        <v>2</v>
      </c>
      <c r="F3" s="3" t="s">
        <v>48</v>
      </c>
      <c r="G3">
        <v>2015</v>
      </c>
    </row>
    <row r="5" spans="1:5" ht="12.75">
      <c r="A5" t="s">
        <v>3</v>
      </c>
      <c r="D5" s="4">
        <v>1738.99</v>
      </c>
      <c r="E5" s="5" t="s">
        <v>41</v>
      </c>
    </row>
    <row r="6" spans="1:5" ht="12.75">
      <c r="A6" t="s">
        <v>4</v>
      </c>
      <c r="D6" s="4">
        <v>53</v>
      </c>
      <c r="E6" s="5"/>
    </row>
    <row r="7" spans="1:5" ht="12.75">
      <c r="A7" t="s">
        <v>5</v>
      </c>
      <c r="D7" s="4">
        <v>112</v>
      </c>
      <c r="E7" s="5" t="s">
        <v>6</v>
      </c>
    </row>
    <row r="8" spans="1:5" ht="12.75">
      <c r="A8" t="s">
        <v>7</v>
      </c>
      <c r="D8" s="4">
        <v>134</v>
      </c>
      <c r="E8" s="5" t="s">
        <v>41</v>
      </c>
    </row>
    <row r="9" spans="1:5" ht="12.75">
      <c r="A9" t="s">
        <v>8</v>
      </c>
      <c r="D9" s="4">
        <v>1077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337025.17000000004</v>
      </c>
      <c r="C13" s="8">
        <f>SUM(C14:C25)</f>
        <v>281697.55999999994</v>
      </c>
      <c r="D13" s="8">
        <f>SUM(D14:D25)</f>
        <v>55327.60999999999</v>
      </c>
    </row>
    <row r="14" spans="1:4" ht="12.75" hidden="1">
      <c r="A14" s="9" t="s">
        <v>25</v>
      </c>
      <c r="B14" s="8">
        <v>29703.67</v>
      </c>
      <c r="C14" s="8">
        <v>23418.25</v>
      </c>
      <c r="D14" s="8">
        <f aca="true" t="shared" si="0" ref="D14:D25">B14-C14</f>
        <v>6285.419999999998</v>
      </c>
    </row>
    <row r="15" spans="1:4" ht="12.75" hidden="1">
      <c r="A15" s="9" t="s">
        <v>13</v>
      </c>
      <c r="B15" s="8">
        <f>29424.96-3471.01</f>
        <v>25953.949999999997</v>
      </c>
      <c r="C15" s="13">
        <v>20913.75</v>
      </c>
      <c r="D15" s="8">
        <f t="shared" si="0"/>
        <v>5040.199999999997</v>
      </c>
    </row>
    <row r="16" spans="1:4" ht="12.75" hidden="1">
      <c r="A16" s="9" t="s">
        <v>14</v>
      </c>
      <c r="B16" s="13">
        <v>29424.96</v>
      </c>
      <c r="C16" s="13">
        <v>24765.01</v>
      </c>
      <c r="D16" s="8">
        <f t="shared" si="0"/>
        <v>4659.950000000001</v>
      </c>
    </row>
    <row r="17" spans="1:4" ht="12.75" hidden="1">
      <c r="A17" s="9" t="s">
        <v>15</v>
      </c>
      <c r="B17" s="13">
        <v>28928.83</v>
      </c>
      <c r="C17" s="13">
        <v>19119.63</v>
      </c>
      <c r="D17" s="8">
        <f t="shared" si="0"/>
        <v>9809.2</v>
      </c>
    </row>
    <row r="18" spans="1:4" ht="12.75" hidden="1">
      <c r="A18" s="9" t="s">
        <v>16</v>
      </c>
      <c r="B18" s="13">
        <v>28558.56</v>
      </c>
      <c r="C18" s="13">
        <v>28469.7</v>
      </c>
      <c r="D18" s="8">
        <f t="shared" si="0"/>
        <v>88.86000000000058</v>
      </c>
    </row>
    <row r="19" spans="1:4" ht="12.75" hidden="1">
      <c r="A19" s="9" t="s">
        <v>17</v>
      </c>
      <c r="B19" s="13">
        <v>28558.56</v>
      </c>
      <c r="C19" s="13">
        <v>15266.56</v>
      </c>
      <c r="D19" s="8">
        <f t="shared" si="0"/>
        <v>13292.000000000002</v>
      </c>
    </row>
    <row r="20" spans="1:4" ht="12.75" hidden="1">
      <c r="A20" s="9" t="s">
        <v>18</v>
      </c>
      <c r="B20" s="13">
        <v>28558.56</v>
      </c>
      <c r="C20" s="13">
        <v>22054.08</v>
      </c>
      <c r="D20" s="8">
        <f t="shared" si="0"/>
        <v>6504.48</v>
      </c>
    </row>
    <row r="21" spans="1:4" ht="12.75" hidden="1">
      <c r="A21" s="9" t="s">
        <v>19</v>
      </c>
      <c r="B21" s="13">
        <v>31408.13</v>
      </c>
      <c r="C21" s="13">
        <v>26349.15</v>
      </c>
      <c r="D21" s="8">
        <f t="shared" si="0"/>
        <v>5058.98</v>
      </c>
    </row>
    <row r="22" spans="1:4" ht="12.75" hidden="1">
      <c r="A22" s="9" t="s">
        <v>20</v>
      </c>
      <c r="B22" s="13">
        <f>30826.39-4974.22</f>
        <v>25852.17</v>
      </c>
      <c r="C22" s="13">
        <v>26845.08</v>
      </c>
      <c r="D22" s="8">
        <f t="shared" si="0"/>
        <v>-992.9100000000035</v>
      </c>
    </row>
    <row r="23" spans="1:4" ht="12.75" hidden="1">
      <c r="A23" s="9" t="s">
        <v>21</v>
      </c>
      <c r="B23" s="13">
        <f>30326.9-7232.19</f>
        <v>23094.710000000003</v>
      </c>
      <c r="C23" s="13">
        <v>24271.34</v>
      </c>
      <c r="D23" s="13">
        <f t="shared" si="0"/>
        <v>-1176.6299999999974</v>
      </c>
    </row>
    <row r="24" spans="1:4" ht="12.75" hidden="1">
      <c r="A24" s="9" t="s">
        <v>22</v>
      </c>
      <c r="B24" s="13">
        <v>30326.9</v>
      </c>
      <c r="C24" s="13">
        <v>19655.08</v>
      </c>
      <c r="D24" s="13">
        <f t="shared" si="0"/>
        <v>10671.82</v>
      </c>
    </row>
    <row r="25" spans="1:4" ht="12.75" hidden="1">
      <c r="A25" s="9" t="s">
        <v>23</v>
      </c>
      <c r="B25" s="13">
        <f>30003.94-3347.77</f>
        <v>26656.17</v>
      </c>
      <c r="C25" s="13">
        <v>30569.93</v>
      </c>
      <c r="D25" s="13">
        <f t="shared" si="0"/>
        <v>-3913.760000000002</v>
      </c>
    </row>
    <row r="26" spans="1:4" ht="12.75">
      <c r="A26" s="7" t="s">
        <v>24</v>
      </c>
      <c r="B26" s="8">
        <f>SUM(B27:B38)</f>
        <v>529.1600000000001</v>
      </c>
      <c r="C26" s="8">
        <f>SUM(C27:C38)</f>
        <v>458.6000000000001</v>
      </c>
      <c r="D26" s="8">
        <f>SUM(D27:D38)</f>
        <v>70.56000000000006</v>
      </c>
    </row>
    <row r="27" spans="1:4" ht="12.75" hidden="1">
      <c r="A27" s="9" t="s">
        <v>25</v>
      </c>
      <c r="B27" s="8">
        <v>53.49</v>
      </c>
      <c r="C27" s="8">
        <v>21.73</v>
      </c>
      <c r="D27" s="8">
        <f aca="true" t="shared" si="1" ref="D27:D38">B27-C27</f>
        <v>31.76</v>
      </c>
    </row>
    <row r="28" spans="1:4" ht="12.75" hidden="1">
      <c r="A28" s="9" t="s">
        <v>13</v>
      </c>
      <c r="B28" s="8">
        <v>49.78</v>
      </c>
      <c r="C28" s="13">
        <v>28.47</v>
      </c>
      <c r="D28" s="8">
        <f t="shared" si="1"/>
        <v>21.310000000000002</v>
      </c>
    </row>
    <row r="29" spans="1:4" ht="12.75" hidden="1">
      <c r="A29" s="9" t="s">
        <v>14</v>
      </c>
      <c r="B29" s="8">
        <v>49.78</v>
      </c>
      <c r="C29" s="13">
        <v>28.03</v>
      </c>
      <c r="D29" s="8">
        <f t="shared" si="1"/>
        <v>21.75</v>
      </c>
    </row>
    <row r="30" spans="1:4" ht="12.75" hidden="1">
      <c r="A30" s="9" t="s">
        <v>15</v>
      </c>
      <c r="B30" s="8">
        <v>46.02</v>
      </c>
      <c r="C30" s="13">
        <v>34.83</v>
      </c>
      <c r="D30" s="8">
        <f t="shared" si="1"/>
        <v>11.190000000000005</v>
      </c>
    </row>
    <row r="31" spans="1:4" ht="12.75" hidden="1">
      <c r="A31" s="9" t="s">
        <v>16</v>
      </c>
      <c r="B31" s="8">
        <v>44.6</v>
      </c>
      <c r="C31" s="13">
        <v>42.3</v>
      </c>
      <c r="D31" s="8">
        <f t="shared" si="1"/>
        <v>2.3000000000000043</v>
      </c>
    </row>
    <row r="32" spans="1:4" ht="12.75" hidden="1">
      <c r="A32" s="9" t="s">
        <v>17</v>
      </c>
      <c r="B32" s="8">
        <v>44.6</v>
      </c>
      <c r="C32" s="13">
        <v>21.73</v>
      </c>
      <c r="D32" s="8">
        <f t="shared" si="1"/>
        <v>22.87</v>
      </c>
    </row>
    <row r="33" spans="1:4" ht="12.75" hidden="1">
      <c r="A33" s="9" t="s">
        <v>18</v>
      </c>
      <c r="B33" s="8">
        <v>44.6</v>
      </c>
      <c r="C33" s="13">
        <v>27.15</v>
      </c>
      <c r="D33" s="8">
        <f t="shared" si="1"/>
        <v>17.450000000000003</v>
      </c>
    </row>
    <row r="34" spans="1:4" ht="12.75" hidden="1">
      <c r="A34" s="9" t="s">
        <v>19</v>
      </c>
      <c r="B34" s="8">
        <v>44.6</v>
      </c>
      <c r="C34" s="13">
        <v>51.59</v>
      </c>
      <c r="D34" s="8">
        <f t="shared" si="1"/>
        <v>-6.990000000000002</v>
      </c>
    </row>
    <row r="35" spans="1:4" ht="12.75" hidden="1">
      <c r="A35" s="9" t="s">
        <v>20</v>
      </c>
      <c r="B35" s="8">
        <v>42.13</v>
      </c>
      <c r="C35" s="13">
        <v>98.88</v>
      </c>
      <c r="D35" s="8">
        <f t="shared" si="1"/>
        <v>-56.74999999999999</v>
      </c>
    </row>
    <row r="36" spans="1:4" ht="12.75" hidden="1">
      <c r="A36" s="9" t="s">
        <v>21</v>
      </c>
      <c r="B36" s="13">
        <v>39.06</v>
      </c>
      <c r="C36" s="13">
        <v>38.79</v>
      </c>
      <c r="D36" s="13">
        <f t="shared" si="1"/>
        <v>0.2700000000000031</v>
      </c>
    </row>
    <row r="37" spans="1:4" ht="12.75" hidden="1">
      <c r="A37" s="9" t="s">
        <v>22</v>
      </c>
      <c r="B37" s="13">
        <v>35.25</v>
      </c>
      <c r="C37" s="13">
        <v>22.75</v>
      </c>
      <c r="D37" s="13">
        <f t="shared" si="1"/>
        <v>12.5</v>
      </c>
    </row>
    <row r="38" spans="1:4" ht="12.75" hidden="1">
      <c r="A38" s="9" t="s">
        <v>23</v>
      </c>
      <c r="B38" s="13">
        <v>35.25</v>
      </c>
      <c r="C38" s="13">
        <v>42.35</v>
      </c>
      <c r="D38" s="13">
        <f t="shared" si="1"/>
        <v>-7.100000000000001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337554.33</v>
      </c>
      <c r="C48" s="8">
        <f>C13+C26</f>
        <v>282156.1599999999</v>
      </c>
      <c r="D48" s="8">
        <f>D13+D26</f>
        <v>55398.16999999999</v>
      </c>
    </row>
    <row r="50" spans="1:4" ht="12.75">
      <c r="A50" t="s">
        <v>27</v>
      </c>
      <c r="D50" s="12">
        <f>D48</f>
        <v>55398.16999999999</v>
      </c>
    </row>
    <row r="52" spans="1:4" ht="12.75">
      <c r="A52" s="11" t="s">
        <v>28</v>
      </c>
      <c r="D52" s="12">
        <f>D53+D54</f>
        <v>34658.0707</v>
      </c>
    </row>
    <row r="53" spans="1:4" ht="12.75" hidden="1">
      <c r="A53" s="11" t="s">
        <v>29</v>
      </c>
      <c r="D53" s="12">
        <f>(2.75*2*D5)+(1.1*5*D5)+(1.21*5*D5)</f>
        <v>29649.779499999997</v>
      </c>
    </row>
    <row r="54" spans="1:4" ht="12.75" hidden="1">
      <c r="A54" s="11" t="s">
        <v>30</v>
      </c>
      <c r="D54" s="12">
        <f>(0.24*12*D5)</f>
        <v>5008.2912</v>
      </c>
    </row>
    <row r="55" spans="1:4" ht="12.75">
      <c r="A55" s="11" t="s">
        <v>31</v>
      </c>
      <c r="D55" s="12">
        <f>(0.66*2*D5)</f>
        <v>2295.4668</v>
      </c>
    </row>
    <row r="56" spans="1:4" ht="12.75">
      <c r="A56" s="11" t="s">
        <v>81</v>
      </c>
      <c r="D56" s="12">
        <f>(0.6*2*D5)+(0.55*2*D5)</f>
        <v>3999.677</v>
      </c>
    </row>
    <row r="57" spans="1:4" ht="12.75">
      <c r="A57" s="11" t="s">
        <v>90</v>
      </c>
      <c r="D57" s="12">
        <f>(2.2*7*D5)+(2.42*5*D5)</f>
        <v>47822.225000000006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(0.72*1*D5)+(0.79*2*D5)</f>
        <v>3999.677</v>
      </c>
    </row>
    <row r="60" spans="1:4" ht="12.75">
      <c r="A60" s="11" t="s">
        <v>34</v>
      </c>
      <c r="D60" s="12">
        <f>(3.3*2*D5)+(1.2*5*D5)+(1.32*5*D5)</f>
        <v>33388.608</v>
      </c>
    </row>
    <row r="61" spans="1:4" ht="12.75">
      <c r="A61" s="11" t="s">
        <v>35</v>
      </c>
      <c r="D61" s="12">
        <f>(2.2*2*D5)+(4.1*5*D5)+(4.51*5*D5)</f>
        <v>82515.07549999999</v>
      </c>
    </row>
    <row r="62" spans="1:4" ht="12.75" hidden="1">
      <c r="A62" s="11" t="s">
        <v>36</v>
      </c>
      <c r="D62" s="12">
        <v>0</v>
      </c>
    </row>
    <row r="63" spans="1:4" ht="12.75">
      <c r="A63" s="11" t="s">
        <v>82</v>
      </c>
      <c r="D63" s="12">
        <f>(0.77*2*D5)+(3.2*5*D5)+(3.52*5*D5)</f>
        <v>61108.10860000001</v>
      </c>
    </row>
    <row r="64" spans="1:4" ht="12.75">
      <c r="A64" s="11" t="s">
        <v>37</v>
      </c>
      <c r="D64" s="12">
        <f>2.25*12*D6</f>
        <v>1431</v>
      </c>
    </row>
    <row r="65" spans="1:4" ht="12.75">
      <c r="A65" s="11" t="s">
        <v>38</v>
      </c>
      <c r="D65" s="12">
        <v>326214</v>
      </c>
    </row>
    <row r="66" spans="1:7" ht="12.75">
      <c r="A66" s="11" t="s">
        <v>39</v>
      </c>
      <c r="D66" s="12">
        <f>(1.76*2*D5)+(0.75*5*D5)+(0.83*5*D5)</f>
        <v>19859.2658</v>
      </c>
      <c r="G66" s="18"/>
    </row>
    <row r="67" spans="1:4" ht="12.75">
      <c r="A67" s="15" t="s">
        <v>65</v>
      </c>
      <c r="D67" s="12">
        <v>0</v>
      </c>
    </row>
    <row r="68" spans="1:4" ht="12.75">
      <c r="A68" s="11"/>
      <c r="D68" s="12"/>
    </row>
    <row r="69" spans="1:4" ht="12.75">
      <c r="A69" s="11" t="s">
        <v>40</v>
      </c>
      <c r="D69" s="12">
        <f>D52+D55+D56+D57+D58+D59+D60+D61+D62+D63+D64+D65+D66</f>
        <v>617291.1744</v>
      </c>
    </row>
    <row r="70" spans="1:8" ht="12.75">
      <c r="A70" s="11"/>
      <c r="D70" s="12"/>
      <c r="H70" s="23"/>
    </row>
    <row r="71" spans="1:7" ht="12.75">
      <c r="A71" t="s">
        <v>68</v>
      </c>
      <c r="D71" s="12">
        <f>C48-D69</f>
        <v>-335135.0144000001</v>
      </c>
      <c r="G71" s="18"/>
    </row>
    <row r="72" ht="12.75">
      <c r="G72" s="18"/>
    </row>
    <row r="73" spans="4:7" ht="12.75">
      <c r="D73" s="12"/>
      <c r="G73" s="18"/>
    </row>
    <row r="88" ht="12.75">
      <c r="A88" s="18"/>
    </row>
    <row r="95" ht="12.75">
      <c r="A95" s="18"/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G75"/>
  <sheetViews>
    <sheetView zoomScalePageLayoutView="0" workbookViewId="0" topLeftCell="A1">
      <selection activeCell="G63" sqref="G63:J78"/>
    </sheetView>
  </sheetViews>
  <sheetFormatPr defaultColWidth="9.140625" defaultRowHeight="12.75"/>
  <cols>
    <col min="1" max="1" width="14.57421875" style="0" customWidth="1"/>
    <col min="2" max="2" width="15.00390625" style="0" customWidth="1"/>
    <col min="3" max="3" width="14.28125" style="0" customWidth="1"/>
    <col min="4" max="4" width="14.57421875" style="0" customWidth="1"/>
  </cols>
  <sheetData>
    <row r="1" spans="1:7" ht="12.75">
      <c r="A1" s="1" t="s">
        <v>0</v>
      </c>
      <c r="B1" s="2" t="s">
        <v>1</v>
      </c>
      <c r="C1" s="1" t="s">
        <v>45</v>
      </c>
      <c r="D1" s="1"/>
      <c r="E1" s="1" t="s">
        <v>2</v>
      </c>
      <c r="F1" s="3" t="s">
        <v>57</v>
      </c>
      <c r="G1">
        <v>2015</v>
      </c>
    </row>
    <row r="3" spans="1:5" ht="12.75">
      <c r="A3" t="s">
        <v>3</v>
      </c>
      <c r="D3" s="4">
        <v>2078.5</v>
      </c>
      <c r="E3" s="5" t="s">
        <v>41</v>
      </c>
    </row>
    <row r="4" spans="1:5" ht="12.75">
      <c r="A4" t="s">
        <v>4</v>
      </c>
      <c r="D4" s="4">
        <v>40</v>
      </c>
      <c r="E4" s="5"/>
    </row>
    <row r="5" spans="1:5" ht="12.75">
      <c r="A5" t="s">
        <v>5</v>
      </c>
      <c r="D5" s="4">
        <v>97</v>
      </c>
      <c r="E5" s="5" t="s">
        <v>6</v>
      </c>
    </row>
    <row r="6" spans="1:5" ht="12.75">
      <c r="A6" t="s">
        <v>7</v>
      </c>
      <c r="D6" s="4">
        <v>247</v>
      </c>
      <c r="E6" s="5" t="s">
        <v>41</v>
      </c>
    </row>
    <row r="7" spans="1:5" ht="12.75">
      <c r="A7" t="s">
        <v>8</v>
      </c>
      <c r="D7" s="4">
        <v>2928</v>
      </c>
      <c r="E7" s="5" t="s">
        <v>41</v>
      </c>
    </row>
    <row r="10" spans="2:4" ht="12.75">
      <c r="B10" s="6" t="s">
        <v>9</v>
      </c>
      <c r="C10" s="6" t="s">
        <v>10</v>
      </c>
      <c r="D10" s="6" t="s">
        <v>11</v>
      </c>
    </row>
    <row r="11" spans="1:4" ht="12.75">
      <c r="A11" s="7" t="s">
        <v>12</v>
      </c>
      <c r="B11" s="8">
        <f>SUM(B12:B23)</f>
        <v>473856.62999999995</v>
      </c>
      <c r="C11" s="8">
        <f>SUM(C12:C23)</f>
        <v>470216.92</v>
      </c>
      <c r="D11" s="8">
        <f>SUM(D12:D23)</f>
        <v>3639.7100000000173</v>
      </c>
    </row>
    <row r="12" spans="1:4" ht="12.75" hidden="1">
      <c r="A12" s="9" t="s">
        <v>25</v>
      </c>
      <c r="B12" s="8">
        <v>37911.94</v>
      </c>
      <c r="C12" s="8">
        <v>28142.43</v>
      </c>
      <c r="D12" s="8">
        <f aca="true" t="shared" si="0" ref="D12:D23">B12-C12</f>
        <v>9769.510000000002</v>
      </c>
    </row>
    <row r="13" spans="1:4" ht="12.75" hidden="1">
      <c r="A13" s="9" t="s">
        <v>13</v>
      </c>
      <c r="B13" s="8">
        <v>37911.94</v>
      </c>
      <c r="C13" s="13">
        <v>31125.69</v>
      </c>
      <c r="D13" s="8">
        <f t="shared" si="0"/>
        <v>6786.250000000004</v>
      </c>
    </row>
    <row r="14" spans="1:4" ht="12.75" hidden="1">
      <c r="A14" s="9" t="s">
        <v>14</v>
      </c>
      <c r="B14" s="8">
        <v>37911.94</v>
      </c>
      <c r="C14" s="13">
        <v>69586.63</v>
      </c>
      <c r="D14" s="8">
        <f t="shared" si="0"/>
        <v>-31674.690000000002</v>
      </c>
    </row>
    <row r="15" spans="1:4" ht="12.75" hidden="1">
      <c r="A15" s="9" t="s">
        <v>15</v>
      </c>
      <c r="B15" s="8">
        <v>37911.94</v>
      </c>
      <c r="C15" s="13">
        <v>28012.9</v>
      </c>
      <c r="D15" s="8">
        <f t="shared" si="0"/>
        <v>9899.04</v>
      </c>
    </row>
    <row r="16" spans="1:4" ht="12.75" hidden="1">
      <c r="A16" s="9" t="s">
        <v>16</v>
      </c>
      <c r="B16" s="8">
        <v>37911.94</v>
      </c>
      <c r="C16" s="13">
        <v>31907.9</v>
      </c>
      <c r="D16" s="8">
        <f t="shared" si="0"/>
        <v>6004.040000000001</v>
      </c>
    </row>
    <row r="17" spans="1:4" ht="12.75" hidden="1">
      <c r="A17" s="9" t="s">
        <v>17</v>
      </c>
      <c r="B17" s="8">
        <v>37911.94</v>
      </c>
      <c r="C17" s="13">
        <v>29027.74</v>
      </c>
      <c r="D17" s="8">
        <f t="shared" si="0"/>
        <v>8884.2</v>
      </c>
    </row>
    <row r="18" spans="1:4" ht="12.75" hidden="1">
      <c r="A18" s="9" t="s">
        <v>18</v>
      </c>
      <c r="B18" s="8">
        <v>37911.94</v>
      </c>
      <c r="C18" s="13">
        <v>34902.05</v>
      </c>
      <c r="D18" s="8">
        <f t="shared" si="0"/>
        <v>3009.8899999999994</v>
      </c>
    </row>
    <row r="19" spans="1:4" ht="12.75" hidden="1">
      <c r="A19" s="9" t="s">
        <v>19</v>
      </c>
      <c r="B19" s="13">
        <v>41694.61</v>
      </c>
      <c r="C19" s="13">
        <v>51346.28</v>
      </c>
      <c r="D19" s="8">
        <f t="shared" si="0"/>
        <v>-9651.669999999998</v>
      </c>
    </row>
    <row r="20" spans="1:4" ht="12.75" hidden="1">
      <c r="A20" s="9" t="s">
        <v>20</v>
      </c>
      <c r="B20" s="13">
        <v>41694.61</v>
      </c>
      <c r="C20" s="13">
        <v>39907.59</v>
      </c>
      <c r="D20" s="8">
        <f t="shared" si="0"/>
        <v>1787.020000000004</v>
      </c>
    </row>
    <row r="21" spans="1:4" ht="12.75" hidden="1">
      <c r="A21" s="9" t="s">
        <v>21</v>
      </c>
      <c r="B21" s="13">
        <v>41694.61</v>
      </c>
      <c r="C21" s="13">
        <v>41110.38</v>
      </c>
      <c r="D21" s="13">
        <f t="shared" si="0"/>
        <v>584.2300000000032</v>
      </c>
    </row>
    <row r="22" spans="1:4" ht="12.75" hidden="1">
      <c r="A22" s="9" t="s">
        <v>22</v>
      </c>
      <c r="B22" s="13">
        <v>41694.61</v>
      </c>
      <c r="C22" s="13">
        <v>31625.45</v>
      </c>
      <c r="D22" s="13">
        <f t="shared" si="0"/>
        <v>10069.16</v>
      </c>
    </row>
    <row r="23" spans="1:4" ht="12.75" hidden="1">
      <c r="A23" s="9" t="s">
        <v>23</v>
      </c>
      <c r="B23" s="13">
        <v>41694.61</v>
      </c>
      <c r="C23" s="13">
        <v>53521.88</v>
      </c>
      <c r="D23" s="13">
        <f t="shared" si="0"/>
        <v>-11827.269999999997</v>
      </c>
    </row>
    <row r="24" spans="1:4" ht="12.75">
      <c r="A24" s="7" t="s">
        <v>24</v>
      </c>
      <c r="B24" s="8">
        <f>SUM(B25:B36)</f>
        <v>130.15999999999997</v>
      </c>
      <c r="C24" s="8">
        <f>SUM(C25:C36)</f>
        <v>94.13</v>
      </c>
      <c r="D24" s="8">
        <f>SUM(D25:D36)</f>
        <v>36.029999999999994</v>
      </c>
    </row>
    <row r="25" spans="1:4" ht="12.75" hidden="1">
      <c r="A25" s="9" t="s">
        <v>25</v>
      </c>
      <c r="B25" s="8">
        <v>10.84</v>
      </c>
      <c r="C25" s="8">
        <v>5.19</v>
      </c>
      <c r="D25" s="8">
        <f aca="true" t="shared" si="1" ref="D25:D36">B25-C25</f>
        <v>5.6499999999999995</v>
      </c>
    </row>
    <row r="26" spans="1:4" ht="12.75" hidden="1">
      <c r="A26" s="9" t="s">
        <v>13</v>
      </c>
      <c r="B26" s="8">
        <v>10.84</v>
      </c>
      <c r="C26" s="13">
        <v>2.66</v>
      </c>
      <c r="D26" s="8">
        <f t="shared" si="1"/>
        <v>8.18</v>
      </c>
    </row>
    <row r="27" spans="1:4" ht="12.75" hidden="1">
      <c r="A27" s="9" t="s">
        <v>14</v>
      </c>
      <c r="B27" s="8">
        <v>10.84</v>
      </c>
      <c r="C27" s="13">
        <v>7.42</v>
      </c>
      <c r="D27" s="8">
        <f t="shared" si="1"/>
        <v>3.42</v>
      </c>
    </row>
    <row r="28" spans="1:4" ht="12.75" hidden="1">
      <c r="A28" s="9" t="s">
        <v>15</v>
      </c>
      <c r="B28" s="8">
        <v>10.84</v>
      </c>
      <c r="C28" s="13">
        <v>4.94</v>
      </c>
      <c r="D28" s="8">
        <f t="shared" si="1"/>
        <v>5.8999999999999995</v>
      </c>
    </row>
    <row r="29" spans="1:4" ht="12.75" hidden="1">
      <c r="A29" s="9" t="s">
        <v>16</v>
      </c>
      <c r="B29" s="8">
        <v>10.85</v>
      </c>
      <c r="C29" s="13">
        <v>2.46</v>
      </c>
      <c r="D29" s="8">
        <f t="shared" si="1"/>
        <v>8.39</v>
      </c>
    </row>
    <row r="30" spans="1:4" ht="12.75" hidden="1">
      <c r="A30" s="9" t="s">
        <v>17</v>
      </c>
      <c r="B30" s="8">
        <v>10.85</v>
      </c>
      <c r="C30" s="13">
        <v>2.46</v>
      </c>
      <c r="D30" s="8">
        <f t="shared" si="1"/>
        <v>8.39</v>
      </c>
    </row>
    <row r="31" spans="1:4" ht="12.75" hidden="1">
      <c r="A31" s="9" t="s">
        <v>18</v>
      </c>
      <c r="B31" s="8">
        <v>10.85</v>
      </c>
      <c r="C31" s="13">
        <v>7.53</v>
      </c>
      <c r="D31" s="8">
        <f t="shared" si="1"/>
        <v>3.3199999999999994</v>
      </c>
    </row>
    <row r="32" spans="1:4" ht="12.75" hidden="1">
      <c r="A32" s="9" t="s">
        <v>19</v>
      </c>
      <c r="B32" s="8">
        <v>10.85</v>
      </c>
      <c r="C32" s="13">
        <v>7.42</v>
      </c>
      <c r="D32" s="8">
        <f t="shared" si="1"/>
        <v>3.4299999999999997</v>
      </c>
    </row>
    <row r="33" spans="1:4" ht="12.75" hidden="1">
      <c r="A33" s="9" t="s">
        <v>20</v>
      </c>
      <c r="B33" s="8">
        <v>10.85</v>
      </c>
      <c r="C33" s="13">
        <v>4.98</v>
      </c>
      <c r="D33" s="8">
        <f t="shared" si="1"/>
        <v>5.869999999999999</v>
      </c>
    </row>
    <row r="34" spans="1:4" ht="12.75" hidden="1">
      <c r="A34" s="9" t="s">
        <v>21</v>
      </c>
      <c r="B34" s="8">
        <v>10.85</v>
      </c>
      <c r="C34" s="13">
        <v>24.2</v>
      </c>
      <c r="D34" s="13">
        <f t="shared" si="1"/>
        <v>-13.35</v>
      </c>
    </row>
    <row r="35" spans="1:4" ht="12.75" hidden="1">
      <c r="A35" s="9" t="s">
        <v>22</v>
      </c>
      <c r="B35" s="8">
        <v>10.85</v>
      </c>
      <c r="C35" s="13">
        <v>14.16</v>
      </c>
      <c r="D35" s="13">
        <f t="shared" si="1"/>
        <v>-3.3100000000000005</v>
      </c>
    </row>
    <row r="36" spans="1:4" ht="12.75" hidden="1">
      <c r="A36" s="9" t="s">
        <v>23</v>
      </c>
      <c r="B36" s="8">
        <v>10.85</v>
      </c>
      <c r="C36" s="13">
        <v>10.71</v>
      </c>
      <c r="D36" s="13">
        <f t="shared" si="1"/>
        <v>0.1399999999999988</v>
      </c>
    </row>
    <row r="37" spans="1:4" ht="12.75" hidden="1">
      <c r="A37" s="7" t="s">
        <v>42</v>
      </c>
      <c r="B37" s="13">
        <f>B38+B39</f>
        <v>0</v>
      </c>
      <c r="C37" s="13">
        <f>C38+C39</f>
        <v>0</v>
      </c>
      <c r="D37" s="13">
        <f>SUM(D38:D39)</f>
        <v>0</v>
      </c>
    </row>
    <row r="38" spans="1:4" ht="12.75" hidden="1">
      <c r="A38" s="9" t="s">
        <v>22</v>
      </c>
      <c r="B38" s="13"/>
      <c r="C38" s="13"/>
      <c r="D38" s="13">
        <f>B38-C38</f>
        <v>0</v>
      </c>
    </row>
    <row r="39" spans="1:4" ht="12.75" hidden="1">
      <c r="A39" s="9" t="s">
        <v>23</v>
      </c>
      <c r="B39" s="13"/>
      <c r="C39" s="13"/>
      <c r="D39" s="13">
        <f>B39-C39</f>
        <v>0</v>
      </c>
    </row>
    <row r="40" spans="1:4" ht="12.75" hidden="1">
      <c r="A40" s="7" t="s">
        <v>147</v>
      </c>
      <c r="B40" s="13">
        <f>B41+B42+B43+B44+B45</f>
        <v>0</v>
      </c>
      <c r="C40" s="13">
        <f>C41+C42+C43+C44+C45</f>
        <v>0</v>
      </c>
      <c r="D40" s="13">
        <f>SUM(D41:D45)</f>
        <v>0</v>
      </c>
    </row>
    <row r="41" spans="1:4" ht="12.75" hidden="1">
      <c r="A41" s="9" t="s">
        <v>17</v>
      </c>
      <c r="B41" s="8"/>
      <c r="C41" s="8"/>
      <c r="D41" s="8">
        <f>B41-C41</f>
        <v>0</v>
      </c>
    </row>
    <row r="42" spans="1:4" ht="12.75" hidden="1">
      <c r="A42" s="9" t="s">
        <v>18</v>
      </c>
      <c r="B42" s="13"/>
      <c r="C42" s="13"/>
      <c r="D42" s="8">
        <f>B42-C42</f>
        <v>0</v>
      </c>
    </row>
    <row r="43" spans="1:4" ht="12.75" hidden="1">
      <c r="A43" s="9" t="s">
        <v>19</v>
      </c>
      <c r="B43" s="13"/>
      <c r="C43" s="13"/>
      <c r="D43" s="13">
        <f>B43-C43</f>
        <v>0</v>
      </c>
    </row>
    <row r="44" spans="1:4" ht="12.75" hidden="1">
      <c r="A44" s="9" t="s">
        <v>20</v>
      </c>
      <c r="B44" s="13"/>
      <c r="C44" s="13"/>
      <c r="D44" s="13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>
      <c r="A46" s="9" t="s">
        <v>26</v>
      </c>
      <c r="B46" s="8">
        <f>B11+B24</f>
        <v>473986.7899999999</v>
      </c>
      <c r="C46" s="8">
        <f>C11+C24</f>
        <v>470311.05</v>
      </c>
      <c r="D46" s="8">
        <f>D11+D24</f>
        <v>3675.7400000000175</v>
      </c>
    </row>
    <row r="48" spans="1:4" ht="12.75">
      <c r="A48" t="s">
        <v>27</v>
      </c>
      <c r="D48" s="12">
        <f>D46</f>
        <v>3675.7400000000175</v>
      </c>
    </row>
    <row r="50" spans="1:4" ht="12.75">
      <c r="A50" s="11" t="s">
        <v>28</v>
      </c>
      <c r="D50" s="12">
        <f>D51+D52</f>
        <v>41424.505000000005</v>
      </c>
    </row>
    <row r="51" spans="1:4" ht="12.75" hidden="1">
      <c r="A51" s="11" t="s">
        <v>29</v>
      </c>
      <c r="D51" s="12">
        <f>(2.75*2*D3)+(1.1*5*D3)+(1.21*5*D3)</f>
        <v>35438.425</v>
      </c>
    </row>
    <row r="52" spans="1:4" ht="12.75" hidden="1">
      <c r="A52" s="11" t="s">
        <v>30</v>
      </c>
      <c r="D52" s="12">
        <f>(0.24*12*D3)</f>
        <v>5986.08</v>
      </c>
    </row>
    <row r="53" spans="1:4" ht="12.75">
      <c r="A53" s="11" t="s">
        <v>31</v>
      </c>
      <c r="D53" s="12">
        <f>(0.66*2*D3)</f>
        <v>2743.6200000000003</v>
      </c>
    </row>
    <row r="54" spans="1:4" ht="12.75">
      <c r="A54" s="11" t="s">
        <v>81</v>
      </c>
      <c r="D54" s="12">
        <f>(0.5*2*D3)+(0.55*5*D3)+(0.6*5*D3)</f>
        <v>14029.875</v>
      </c>
    </row>
    <row r="55" spans="1:4" ht="12.75">
      <c r="A55" s="11" t="s">
        <v>90</v>
      </c>
      <c r="D55" s="12">
        <f>(2.2*7*D3)+(2.42*5*D3)</f>
        <v>57158.75</v>
      </c>
    </row>
    <row r="56" spans="1:4" ht="12.75" hidden="1">
      <c r="A56" s="11" t="s">
        <v>33</v>
      </c>
      <c r="D56" s="12">
        <v>0</v>
      </c>
    </row>
    <row r="57" spans="1:4" ht="12.75">
      <c r="A57" s="11" t="s">
        <v>80</v>
      </c>
      <c r="D57" s="12">
        <f>(0.72*2*D3)</f>
        <v>2993.04</v>
      </c>
    </row>
    <row r="58" spans="1:4" ht="12.75">
      <c r="A58" s="11" t="s">
        <v>34</v>
      </c>
      <c r="D58" s="12">
        <f>(3.3*2*D3)+(1.2*5*D3)+(1.32*5*D3)</f>
        <v>39907.2</v>
      </c>
    </row>
    <row r="59" spans="1:4" ht="12.75">
      <c r="A59" s="11" t="s">
        <v>35</v>
      </c>
      <c r="D59" s="12">
        <f>(2.2*2*D3)+(4.1*5*D3)+(4.51*5*D3)</f>
        <v>98624.825</v>
      </c>
    </row>
    <row r="60" spans="1:4" ht="12.75">
      <c r="A60" s="11" t="s">
        <v>36</v>
      </c>
      <c r="D60" s="12">
        <f>(0.24*7*D3)+(0.26*5*D3)</f>
        <v>6193.93</v>
      </c>
    </row>
    <row r="61" spans="1:4" ht="12.75">
      <c r="A61" s="11" t="s">
        <v>82</v>
      </c>
      <c r="D61" s="12">
        <f>(0.77*2*D3)+(3.2*5*D3)+(3.52*5*D3)</f>
        <v>73038.49</v>
      </c>
    </row>
    <row r="62" spans="1:4" ht="12.75">
      <c r="A62" s="11" t="s">
        <v>37</v>
      </c>
      <c r="D62" s="12">
        <f>2.25*12*D4</f>
        <v>1080</v>
      </c>
    </row>
    <row r="63" spans="1:4" ht="12.75">
      <c r="A63" s="11" t="s">
        <v>38</v>
      </c>
      <c r="D63" s="12">
        <v>32819</v>
      </c>
    </row>
    <row r="64" spans="1:4" ht="12.75">
      <c r="A64" s="11" t="s">
        <v>39</v>
      </c>
      <c r="D64" s="12">
        <f>(1.76*2*D3)+(0.75*5*D3)+(0.83*5*D3)</f>
        <v>23736.47</v>
      </c>
    </row>
    <row r="65" spans="1:4" ht="12.75" hidden="1">
      <c r="A65" s="15" t="s">
        <v>65</v>
      </c>
      <c r="D65" s="12">
        <v>0</v>
      </c>
    </row>
    <row r="66" spans="1:7" ht="12.75">
      <c r="A66" s="11"/>
      <c r="D66" s="12"/>
      <c r="G66" s="18"/>
    </row>
    <row r="67" spans="1:7" ht="12.75">
      <c r="A67" s="11" t="s">
        <v>40</v>
      </c>
      <c r="D67" s="12">
        <f>D50+D53+D54+D55+D56+D57+D58+D59+D60+D61+D62+D63+D64</f>
        <v>393749.70499999996</v>
      </c>
      <c r="G67" s="18"/>
    </row>
    <row r="68" spans="1:7" ht="12.75">
      <c r="A68" s="11"/>
      <c r="D68" s="12"/>
      <c r="G68" s="18"/>
    </row>
    <row r="69" spans="1:7" ht="12.75">
      <c r="A69" t="s">
        <v>68</v>
      </c>
      <c r="D69" s="12">
        <f>C46-D67</f>
        <v>76561.34500000003</v>
      </c>
      <c r="G69" s="18"/>
    </row>
    <row r="70" ht="12.75">
      <c r="G70" s="18"/>
    </row>
    <row r="71" spans="4:7" ht="12.75">
      <c r="D71" s="12"/>
      <c r="G71" s="18"/>
    </row>
    <row r="72" ht="12.75">
      <c r="G72" s="18"/>
    </row>
    <row r="73" ht="12.75">
      <c r="G73" s="18"/>
    </row>
    <row r="74" ht="12.75">
      <c r="G74" s="18"/>
    </row>
    <row r="75" ht="12.75">
      <c r="G75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3:G12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3.8515625" style="0" customWidth="1"/>
    <col min="2" max="2" width="21.8515625" style="0" customWidth="1"/>
    <col min="3" max="3" width="15.140625" style="0" customWidth="1"/>
    <col min="4" max="4" width="14.421875" style="0" customWidth="1"/>
    <col min="6" max="6" width="10.57421875" style="0" bestFit="1" customWidth="1"/>
  </cols>
  <sheetData>
    <row r="3" spans="1:7" ht="12.75">
      <c r="A3" s="1" t="s">
        <v>0</v>
      </c>
      <c r="B3" s="2" t="s">
        <v>1</v>
      </c>
      <c r="C3" s="1" t="s">
        <v>45</v>
      </c>
      <c r="D3" s="1"/>
      <c r="E3" s="1" t="s">
        <v>2</v>
      </c>
      <c r="F3" s="3">
        <v>9</v>
      </c>
      <c r="G3">
        <v>2015</v>
      </c>
    </row>
    <row r="5" spans="1:5" ht="12.75">
      <c r="A5" t="s">
        <v>3</v>
      </c>
      <c r="D5" s="4">
        <v>6528.9</v>
      </c>
      <c r="E5" s="5" t="s">
        <v>41</v>
      </c>
    </row>
    <row r="6" spans="1:5" ht="12.75">
      <c r="A6" t="s">
        <v>4</v>
      </c>
      <c r="D6" s="4">
        <v>121</v>
      </c>
      <c r="E6" s="5"/>
    </row>
    <row r="7" spans="1:5" ht="12.75">
      <c r="A7" t="s">
        <v>5</v>
      </c>
      <c r="D7" s="4">
        <v>296</v>
      </c>
      <c r="E7" s="5" t="s">
        <v>6</v>
      </c>
    </row>
    <row r="8" spans="1:5" ht="12.75">
      <c r="A8" t="s">
        <v>7</v>
      </c>
      <c r="D8" s="4">
        <v>755</v>
      </c>
      <c r="E8" s="5" t="s">
        <v>41</v>
      </c>
    </row>
    <row r="9" spans="1:5" ht="12.75">
      <c r="A9" t="s">
        <v>8</v>
      </c>
      <c r="D9" s="4">
        <v>4332</v>
      </c>
      <c r="E9" s="5" t="s">
        <v>41</v>
      </c>
    </row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1488458.7299999995</v>
      </c>
      <c r="C13" s="8">
        <f>SUM(C14:C25)</f>
        <v>1548787.9499999997</v>
      </c>
      <c r="D13" s="8">
        <f>SUM(D14:D25)</f>
        <v>-60329.22</v>
      </c>
    </row>
    <row r="14" spans="1:4" ht="12.75" hidden="1">
      <c r="A14" s="9" t="s">
        <v>25</v>
      </c>
      <c r="B14" s="8">
        <v>119087.19</v>
      </c>
      <c r="C14" s="8">
        <v>111885.76</v>
      </c>
      <c r="D14" s="8">
        <f aca="true" t="shared" si="0" ref="D14:D25">B14-C14</f>
        <v>7201.430000000008</v>
      </c>
    </row>
    <row r="15" spans="1:4" ht="12.75" hidden="1">
      <c r="A15" s="9" t="s">
        <v>13</v>
      </c>
      <c r="B15" s="8">
        <v>119087.19</v>
      </c>
      <c r="C15" s="13">
        <v>107060.34</v>
      </c>
      <c r="D15" s="8">
        <f t="shared" si="0"/>
        <v>12026.850000000006</v>
      </c>
    </row>
    <row r="16" spans="1:4" ht="12.75" hidden="1">
      <c r="A16" s="9" t="s">
        <v>14</v>
      </c>
      <c r="B16" s="8">
        <v>119087.19</v>
      </c>
      <c r="C16" s="13">
        <v>153059.47</v>
      </c>
      <c r="D16" s="8">
        <f t="shared" si="0"/>
        <v>-33972.28</v>
      </c>
    </row>
    <row r="17" spans="1:4" ht="12.75" hidden="1">
      <c r="A17" s="9" t="s">
        <v>15</v>
      </c>
      <c r="B17" s="8">
        <v>119087.19</v>
      </c>
      <c r="C17" s="13">
        <v>127724.27</v>
      </c>
      <c r="D17" s="8">
        <f t="shared" si="0"/>
        <v>-8637.080000000002</v>
      </c>
    </row>
    <row r="18" spans="1:4" ht="12.75" hidden="1">
      <c r="A18" s="9" t="s">
        <v>16</v>
      </c>
      <c r="B18" s="8">
        <v>119087.19</v>
      </c>
      <c r="C18" s="13">
        <v>111696.95</v>
      </c>
      <c r="D18" s="8">
        <f t="shared" si="0"/>
        <v>7390.240000000005</v>
      </c>
    </row>
    <row r="19" spans="1:4" ht="12.75" hidden="1">
      <c r="A19" s="9" t="s">
        <v>17</v>
      </c>
      <c r="B19" s="8">
        <v>119087.19</v>
      </c>
      <c r="C19" s="13">
        <v>130690.98</v>
      </c>
      <c r="D19" s="8">
        <f t="shared" si="0"/>
        <v>-11603.789999999994</v>
      </c>
    </row>
    <row r="20" spans="1:4" ht="12.75" hidden="1">
      <c r="A20" s="9" t="s">
        <v>18</v>
      </c>
      <c r="B20" s="8">
        <v>119087.19</v>
      </c>
      <c r="C20" s="13">
        <v>127036.46</v>
      </c>
      <c r="D20" s="8">
        <f t="shared" si="0"/>
        <v>-7949.270000000004</v>
      </c>
    </row>
    <row r="21" spans="1:4" ht="12.75" hidden="1">
      <c r="A21" s="9" t="s">
        <v>19</v>
      </c>
      <c r="B21" s="13">
        <v>130969.68</v>
      </c>
      <c r="C21" s="13">
        <v>130675.9</v>
      </c>
      <c r="D21" s="8">
        <f t="shared" si="0"/>
        <v>293.77999999999884</v>
      </c>
    </row>
    <row r="22" spans="1:4" ht="12.75" hidden="1">
      <c r="A22" s="9" t="s">
        <v>20</v>
      </c>
      <c r="B22" s="13">
        <v>130969.68</v>
      </c>
      <c r="C22" s="13">
        <v>145269.21</v>
      </c>
      <c r="D22" s="8">
        <f t="shared" si="0"/>
        <v>-14299.529999999999</v>
      </c>
    </row>
    <row r="23" spans="1:4" ht="12.75" hidden="1">
      <c r="A23" s="9" t="s">
        <v>21</v>
      </c>
      <c r="B23" s="13">
        <v>130969.68</v>
      </c>
      <c r="C23" s="13">
        <v>130555.42</v>
      </c>
      <c r="D23" s="13">
        <f t="shared" si="0"/>
        <v>414.25999999999476</v>
      </c>
    </row>
    <row r="24" spans="1:4" ht="12.75" hidden="1">
      <c r="A24" s="9" t="s">
        <v>22</v>
      </c>
      <c r="B24" s="13">
        <v>130969.68</v>
      </c>
      <c r="C24" s="13">
        <v>131587.96</v>
      </c>
      <c r="D24" s="13">
        <f t="shared" si="0"/>
        <v>-618.2799999999988</v>
      </c>
    </row>
    <row r="25" spans="1:4" ht="12.75" hidden="1">
      <c r="A25" s="9" t="s">
        <v>23</v>
      </c>
      <c r="B25" s="13">
        <v>130969.68</v>
      </c>
      <c r="C25" s="13">
        <v>141545.23</v>
      </c>
      <c r="D25" s="13">
        <f t="shared" si="0"/>
        <v>-10575.550000000017</v>
      </c>
    </row>
    <row r="26" spans="1:4" ht="12.75">
      <c r="A26" s="7" t="s">
        <v>24</v>
      </c>
      <c r="B26" s="8">
        <f>SUM(B27:B38)</f>
        <v>543.84</v>
      </c>
      <c r="C26" s="8">
        <f>SUM(C27:C38)</f>
        <v>639.0899999999999</v>
      </c>
      <c r="D26" s="8">
        <f>SUM(D27:D38)</f>
        <v>-95.25</v>
      </c>
    </row>
    <row r="27" spans="1:4" ht="12.75" hidden="1">
      <c r="A27" s="9" t="s">
        <v>25</v>
      </c>
      <c r="B27" s="8">
        <v>45.32</v>
      </c>
      <c r="C27" s="8">
        <v>22.92</v>
      </c>
      <c r="D27" s="8">
        <f aca="true" t="shared" si="1" ref="D27:D38">B27-C27</f>
        <v>22.4</v>
      </c>
    </row>
    <row r="28" spans="1:4" ht="12.75" hidden="1">
      <c r="A28" s="9" t="s">
        <v>13</v>
      </c>
      <c r="B28" s="8">
        <v>45.32</v>
      </c>
      <c r="C28" s="13">
        <v>21.39</v>
      </c>
      <c r="D28" s="8">
        <f t="shared" si="1"/>
        <v>23.93</v>
      </c>
    </row>
    <row r="29" spans="1:4" ht="12.75" hidden="1">
      <c r="A29" s="9" t="s">
        <v>14</v>
      </c>
      <c r="B29" s="8">
        <v>45.32</v>
      </c>
      <c r="C29" s="13">
        <v>39.32</v>
      </c>
      <c r="D29" s="8">
        <f t="shared" si="1"/>
        <v>6</v>
      </c>
    </row>
    <row r="30" spans="1:4" ht="12.75" hidden="1">
      <c r="A30" s="9" t="s">
        <v>15</v>
      </c>
      <c r="B30" s="8">
        <v>45.32</v>
      </c>
      <c r="C30" s="13">
        <v>89.65</v>
      </c>
      <c r="D30" s="8">
        <f t="shared" si="1"/>
        <v>-44.330000000000005</v>
      </c>
    </row>
    <row r="31" spans="1:4" ht="12.75" hidden="1">
      <c r="A31" s="9" t="s">
        <v>16</v>
      </c>
      <c r="B31" s="8">
        <v>45.32</v>
      </c>
      <c r="C31" s="13">
        <v>48.01</v>
      </c>
      <c r="D31" s="8">
        <f t="shared" si="1"/>
        <v>-2.6899999999999977</v>
      </c>
    </row>
    <row r="32" spans="1:4" ht="12.75" hidden="1">
      <c r="A32" s="9" t="s">
        <v>17</v>
      </c>
      <c r="B32" s="8">
        <v>45.32</v>
      </c>
      <c r="C32" s="13">
        <v>74.08</v>
      </c>
      <c r="D32" s="8">
        <f t="shared" si="1"/>
        <v>-28.759999999999998</v>
      </c>
    </row>
    <row r="33" spans="1:4" ht="12.75" hidden="1">
      <c r="A33" s="9" t="s">
        <v>18</v>
      </c>
      <c r="B33" s="8">
        <v>45.32</v>
      </c>
      <c r="C33" s="13">
        <v>57.16</v>
      </c>
      <c r="D33" s="8">
        <f t="shared" si="1"/>
        <v>-11.839999999999996</v>
      </c>
    </row>
    <row r="34" spans="1:4" ht="12.75" hidden="1">
      <c r="A34" s="9" t="s">
        <v>19</v>
      </c>
      <c r="B34" s="8">
        <v>45.32</v>
      </c>
      <c r="C34" s="13">
        <v>72.69</v>
      </c>
      <c r="D34" s="8">
        <f t="shared" si="1"/>
        <v>-27.369999999999997</v>
      </c>
    </row>
    <row r="35" spans="1:4" ht="12.75" hidden="1">
      <c r="A35" s="9" t="s">
        <v>20</v>
      </c>
      <c r="B35" s="8">
        <v>45.32</v>
      </c>
      <c r="C35" s="13">
        <v>57.31</v>
      </c>
      <c r="D35" s="8">
        <f t="shared" si="1"/>
        <v>-11.990000000000002</v>
      </c>
    </row>
    <row r="36" spans="1:4" ht="12.75" hidden="1">
      <c r="A36" s="9" t="s">
        <v>21</v>
      </c>
      <c r="B36" s="8">
        <v>45.32</v>
      </c>
      <c r="C36" s="13">
        <v>54.25</v>
      </c>
      <c r="D36" s="13">
        <f t="shared" si="1"/>
        <v>-8.93</v>
      </c>
    </row>
    <row r="37" spans="1:4" ht="12.75" hidden="1">
      <c r="A37" s="9" t="s">
        <v>22</v>
      </c>
      <c r="B37" s="8">
        <v>45.32</v>
      </c>
      <c r="C37" s="13">
        <v>59.55</v>
      </c>
      <c r="D37" s="13">
        <f t="shared" si="1"/>
        <v>-14.229999999999997</v>
      </c>
    </row>
    <row r="38" spans="1:4" ht="12.75" hidden="1">
      <c r="A38" s="9" t="s">
        <v>23</v>
      </c>
      <c r="B38" s="8">
        <v>45.32</v>
      </c>
      <c r="C38" s="13">
        <v>42.76</v>
      </c>
      <c r="D38" s="13">
        <f t="shared" si="1"/>
        <v>2.5600000000000023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147</v>
      </c>
      <c r="B42" s="8">
        <f>SUM(B43:B54)</f>
        <v>0</v>
      </c>
      <c r="C42" s="8">
        <f>SUM(C43:C54)</f>
        <v>0</v>
      </c>
      <c r="D42" s="8">
        <f>SUM(D43:D54)</f>
        <v>0</v>
      </c>
    </row>
    <row r="43" spans="1:4" ht="12.75" hidden="1">
      <c r="A43" s="9" t="s">
        <v>25</v>
      </c>
      <c r="B43" s="8"/>
      <c r="C43" s="8"/>
      <c r="D43" s="8">
        <f aca="true" t="shared" si="2" ref="D43:D49">B43-C43</f>
        <v>0</v>
      </c>
    </row>
    <row r="44" spans="1:4" ht="12.75" hidden="1">
      <c r="A44" s="9" t="s">
        <v>13</v>
      </c>
      <c r="B44" s="13"/>
      <c r="C44" s="13"/>
      <c r="D44" s="8">
        <f t="shared" si="2"/>
        <v>0</v>
      </c>
    </row>
    <row r="45" spans="1:4" ht="12.75" hidden="1">
      <c r="A45" s="9" t="s">
        <v>14</v>
      </c>
      <c r="B45" s="13"/>
      <c r="C45" s="13"/>
      <c r="D45" s="8">
        <f t="shared" si="2"/>
        <v>0</v>
      </c>
    </row>
    <row r="46" spans="1:4" ht="12.75" hidden="1">
      <c r="A46" s="9" t="s">
        <v>15</v>
      </c>
      <c r="B46" s="13"/>
      <c r="C46" s="13"/>
      <c r="D46" s="8">
        <f t="shared" si="2"/>
        <v>0</v>
      </c>
    </row>
    <row r="47" spans="1:4" ht="12.75" hidden="1">
      <c r="A47" s="9" t="s">
        <v>16</v>
      </c>
      <c r="B47" s="13"/>
      <c r="C47" s="13"/>
      <c r="D47" s="8">
        <f t="shared" si="2"/>
        <v>0</v>
      </c>
    </row>
    <row r="48" spans="1:4" ht="12.75" hidden="1">
      <c r="A48" s="9" t="s">
        <v>17</v>
      </c>
      <c r="B48" s="13"/>
      <c r="C48" s="13"/>
      <c r="D48" s="8">
        <f t="shared" si="2"/>
        <v>0</v>
      </c>
    </row>
    <row r="49" spans="1:4" ht="12.75" hidden="1">
      <c r="A49" s="9" t="s">
        <v>18</v>
      </c>
      <c r="B49" s="13"/>
      <c r="C49" s="13"/>
      <c r="D49" s="8">
        <f t="shared" si="2"/>
        <v>0</v>
      </c>
    </row>
    <row r="50" spans="1:4" ht="12.75" hidden="1">
      <c r="A50" s="9" t="s">
        <v>19</v>
      </c>
      <c r="B50" s="8"/>
      <c r="C50" s="8"/>
      <c r="D50" s="8">
        <f>B50-C50</f>
        <v>0</v>
      </c>
    </row>
    <row r="51" spans="1:4" ht="12.75" hidden="1">
      <c r="A51" s="9" t="s">
        <v>20</v>
      </c>
      <c r="B51" s="13"/>
      <c r="C51" s="13"/>
      <c r="D51" s="8">
        <f>B51-C51</f>
        <v>0</v>
      </c>
    </row>
    <row r="52" spans="1:4" ht="12.75" hidden="1">
      <c r="A52" s="9" t="s">
        <v>21</v>
      </c>
      <c r="B52" s="13"/>
      <c r="C52" s="13"/>
      <c r="D52" s="13">
        <f>B52-C52</f>
        <v>0</v>
      </c>
    </row>
    <row r="53" spans="1:4" ht="12.75" hidden="1">
      <c r="A53" s="9" t="s">
        <v>22</v>
      </c>
      <c r="B53" s="13"/>
      <c r="C53" s="13"/>
      <c r="D53" s="13">
        <f>B53-C53</f>
        <v>0</v>
      </c>
    </row>
    <row r="54" spans="1:4" ht="12.75" hidden="1">
      <c r="A54" s="9" t="s">
        <v>23</v>
      </c>
      <c r="B54" s="13"/>
      <c r="C54" s="13"/>
      <c r="D54" s="13">
        <f>B54-C54</f>
        <v>0</v>
      </c>
    </row>
    <row r="55" spans="1:4" ht="12.75">
      <c r="A55" s="9" t="s">
        <v>26</v>
      </c>
      <c r="B55" s="8">
        <f>B13+B26</f>
        <v>1489002.5699999996</v>
      </c>
      <c r="C55" s="8">
        <f>C13+C26-100000</f>
        <v>1449427.0399999998</v>
      </c>
      <c r="D55" s="8">
        <f>D13+D26</f>
        <v>-60424.47</v>
      </c>
    </row>
    <row r="57" spans="1:4" ht="12.75">
      <c r="A57" t="s">
        <v>27</v>
      </c>
      <c r="D57" s="12">
        <f>D55</f>
        <v>-60424.47</v>
      </c>
    </row>
    <row r="59" spans="1:4" ht="12.75">
      <c r="A59" s="11" t="s">
        <v>28</v>
      </c>
      <c r="D59" s="12">
        <f>D60+D61</f>
        <v>130120.977</v>
      </c>
    </row>
    <row r="60" spans="1:4" ht="12.75" hidden="1">
      <c r="A60" s="11" t="s">
        <v>29</v>
      </c>
      <c r="D60" s="12">
        <f>(2.75*2*D5)+(1.1*5*D5)+(1.21*5*D5)</f>
        <v>111317.745</v>
      </c>
    </row>
    <row r="61" spans="1:4" ht="12.75" hidden="1">
      <c r="A61" s="11" t="s">
        <v>30</v>
      </c>
      <c r="D61" s="12">
        <f>(0.24*12*D5)</f>
        <v>18803.232</v>
      </c>
    </row>
    <row r="62" spans="1:4" ht="12.75">
      <c r="A62" s="11" t="s">
        <v>31</v>
      </c>
      <c r="D62" s="12">
        <f>(0.66*2*D5)</f>
        <v>8618.148</v>
      </c>
    </row>
    <row r="63" spans="1:4" ht="12.75">
      <c r="A63" s="11" t="s">
        <v>81</v>
      </c>
      <c r="D63" s="12">
        <f>(0.5*2*D5)+(0.55*1*D5)+(0.6*1*D5)</f>
        <v>14037.135</v>
      </c>
    </row>
    <row r="64" spans="1:4" ht="12.75">
      <c r="A64" s="11" t="s">
        <v>90</v>
      </c>
      <c r="D64" s="12">
        <f>(2.2*7*D5)+(2.42*5*D5)</f>
        <v>179544.75</v>
      </c>
    </row>
    <row r="65" spans="1:4" ht="11.25" customHeight="1" hidden="1">
      <c r="A65" s="11" t="s">
        <v>33</v>
      </c>
      <c r="D65" s="12">
        <v>0</v>
      </c>
    </row>
    <row r="66" spans="1:4" ht="12.75">
      <c r="A66" s="11" t="s">
        <v>80</v>
      </c>
      <c r="D66" s="12">
        <f>(0.72*1*D5)+(0.79*2*D5)</f>
        <v>15016.470000000001</v>
      </c>
    </row>
    <row r="67" spans="1:4" ht="12.75">
      <c r="A67" s="11" t="s">
        <v>34</v>
      </c>
      <c r="D67" s="12">
        <f>(3.3*2*D5)+(1.2*5*D5)+(1.32*5*D5)</f>
        <v>125354.87999999998</v>
      </c>
    </row>
    <row r="68" spans="1:4" ht="12.75">
      <c r="A68" s="11" t="s">
        <v>35</v>
      </c>
      <c r="D68" s="12">
        <f>(2.2*2*D5)+(4.1*5*D5)+(4.51*5*D5)</f>
        <v>309796.30499999993</v>
      </c>
    </row>
    <row r="69" spans="1:4" ht="12.75">
      <c r="A69" s="11" t="s">
        <v>36</v>
      </c>
      <c r="D69" s="12">
        <f>(0.24*7*D5)+(0.26*5*D5)</f>
        <v>19456.122</v>
      </c>
    </row>
    <row r="70" spans="1:4" ht="12.75">
      <c r="A70" s="11" t="s">
        <v>82</v>
      </c>
      <c r="D70" s="12">
        <f>(0.77*2*D5)+(3.2*5*D5)+(3.52*5*D5)</f>
        <v>229425.54599999997</v>
      </c>
    </row>
    <row r="71" spans="1:4" ht="12.75">
      <c r="A71" s="11" t="s">
        <v>37</v>
      </c>
      <c r="D71" s="12">
        <f>2.25*12*D6</f>
        <v>3267</v>
      </c>
    </row>
    <row r="72" spans="1:4" ht="12.75">
      <c r="A72" s="11" t="s">
        <v>38</v>
      </c>
      <c r="D72" s="12">
        <v>120822</v>
      </c>
    </row>
    <row r="73" spans="1:4" ht="12.75">
      <c r="A73" s="11" t="s">
        <v>39</v>
      </c>
      <c r="D73" s="12">
        <f>(1.76*2*D5)+(0.75*5*D5)+(0.83*5*D5)</f>
        <v>74560.038</v>
      </c>
    </row>
    <row r="74" spans="1:4" ht="12.75" hidden="1">
      <c r="A74" s="15" t="s">
        <v>65</v>
      </c>
      <c r="D74" s="12">
        <v>0</v>
      </c>
    </row>
    <row r="75" spans="1:6" ht="12.75">
      <c r="A75" s="11"/>
      <c r="D75" s="12"/>
      <c r="F75" s="19"/>
    </row>
    <row r="76" spans="1:6" ht="12.75">
      <c r="A76" s="11" t="s">
        <v>40</v>
      </c>
      <c r="D76" s="12">
        <f>D59+D62+D63+D64+D65+D66+D67+D68+D69+D70+D71+D72+D73</f>
        <v>1230019.3709999998</v>
      </c>
      <c r="F76" s="19"/>
    </row>
    <row r="77" spans="1:4" ht="12.75">
      <c r="A77" s="11"/>
      <c r="D77" s="12"/>
    </row>
    <row r="78" spans="1:4" ht="12.75">
      <c r="A78" t="s">
        <v>68</v>
      </c>
      <c r="D78" s="12">
        <f>C55-D76</f>
        <v>219407.669</v>
      </c>
    </row>
    <row r="80" ht="12.75">
      <c r="D80" s="12"/>
    </row>
    <row r="83" ht="12.75">
      <c r="E83" s="12"/>
    </row>
    <row r="84" ht="12.75">
      <c r="E84" s="12"/>
    </row>
    <row r="85" ht="12.75">
      <c r="E85" s="12"/>
    </row>
    <row r="86" ht="12.75">
      <c r="E86" s="12"/>
    </row>
    <row r="87" ht="12.75">
      <c r="E87" s="12"/>
    </row>
    <row r="88" ht="12.75">
      <c r="E88" s="12"/>
    </row>
    <row r="89" ht="12.75">
      <c r="E89" s="12"/>
    </row>
    <row r="90" ht="12.75">
      <c r="E90" s="12"/>
    </row>
    <row r="91" ht="12.75">
      <c r="E91" s="12"/>
    </row>
    <row r="92" ht="12.75">
      <c r="E92" s="12"/>
    </row>
    <row r="93" ht="12.75">
      <c r="E93" s="12"/>
    </row>
    <row r="94" ht="12.75">
      <c r="E94" s="12"/>
    </row>
    <row r="95" ht="12.75">
      <c r="E95" s="12"/>
    </row>
    <row r="96" ht="12.75">
      <c r="E96" s="12"/>
    </row>
    <row r="97" ht="12.75">
      <c r="E97" s="12"/>
    </row>
    <row r="98" ht="12.75">
      <c r="E98" s="12"/>
    </row>
    <row r="99" ht="12.75">
      <c r="E99" s="12"/>
    </row>
    <row r="100" ht="12.75">
      <c r="E100" s="12"/>
    </row>
    <row r="101" ht="12.75">
      <c r="E101" s="12"/>
    </row>
    <row r="102" ht="12.75">
      <c r="E102" s="12"/>
    </row>
    <row r="103" ht="12.75">
      <c r="E103" s="12"/>
    </row>
    <row r="108" ht="12.75">
      <c r="A108" s="17"/>
    </row>
    <row r="109" ht="12.75">
      <c r="A109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3:G75"/>
  <sheetViews>
    <sheetView zoomScalePageLayoutView="0" workbookViewId="0" topLeftCell="A7">
      <selection activeCell="G65" sqref="G65:H77"/>
    </sheetView>
  </sheetViews>
  <sheetFormatPr defaultColWidth="9.140625" defaultRowHeight="12.75"/>
  <cols>
    <col min="1" max="1" width="14.57421875" style="0" customWidth="1"/>
    <col min="2" max="2" width="15.140625" style="0" customWidth="1"/>
    <col min="3" max="3" width="14.7109375" style="0" customWidth="1"/>
    <col min="4" max="4" width="17.00390625" style="0" customWidth="1"/>
  </cols>
  <sheetData>
    <row r="3" spans="1:7" ht="12.75">
      <c r="A3" s="1" t="s">
        <v>0</v>
      </c>
      <c r="B3" s="2" t="s">
        <v>1</v>
      </c>
      <c r="C3" s="1" t="s">
        <v>58</v>
      </c>
      <c r="D3" s="1"/>
      <c r="E3" s="1" t="s">
        <v>2</v>
      </c>
      <c r="F3" s="3">
        <v>31</v>
      </c>
      <c r="G3">
        <v>2015</v>
      </c>
    </row>
    <row r="5" spans="1:5" ht="12.75">
      <c r="A5" t="s">
        <v>3</v>
      </c>
      <c r="D5" s="4">
        <v>5245.5</v>
      </c>
      <c r="E5" s="5" t="s">
        <v>41</v>
      </c>
    </row>
    <row r="6" spans="1:5" ht="12.75">
      <c r="A6" t="s">
        <v>4</v>
      </c>
      <c r="D6" s="4">
        <v>100</v>
      </c>
      <c r="E6" s="5"/>
    </row>
    <row r="7" spans="1:5" ht="12.75">
      <c r="A7" t="s">
        <v>5</v>
      </c>
      <c r="D7" s="4">
        <v>233</v>
      </c>
      <c r="E7" s="5" t="s">
        <v>6</v>
      </c>
    </row>
    <row r="8" spans="1:5" ht="12.75">
      <c r="A8" t="s">
        <v>7</v>
      </c>
      <c r="D8" s="4">
        <v>659.4</v>
      </c>
      <c r="E8" s="5" t="s">
        <v>41</v>
      </c>
    </row>
    <row r="9" spans="1:5" ht="12.75">
      <c r="A9" t="s">
        <v>8</v>
      </c>
      <c r="D9" s="4">
        <v>5718</v>
      </c>
      <c r="E9" s="5" t="s">
        <v>41</v>
      </c>
    </row>
    <row r="10" ht="12.75" hidden="1"/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1195869.13</v>
      </c>
      <c r="C13" s="8">
        <f>SUM(C14:C25)</f>
        <v>1199175.56</v>
      </c>
      <c r="D13" s="8">
        <f>SUM(D14:D25)</f>
        <v>-3306.4299999999494</v>
      </c>
    </row>
    <row r="14" spans="1:4" ht="12.75" hidden="1">
      <c r="A14" s="9" t="s">
        <v>25</v>
      </c>
      <c r="B14" s="8">
        <v>95677.94</v>
      </c>
      <c r="C14" s="8">
        <v>86998.47</v>
      </c>
      <c r="D14" s="8">
        <f aca="true" t="shared" si="0" ref="D14:D25">B14-C14</f>
        <v>8679.470000000001</v>
      </c>
    </row>
    <row r="15" spans="1:4" ht="12.75" hidden="1">
      <c r="A15" s="9" t="s">
        <v>13</v>
      </c>
      <c r="B15" s="8">
        <v>95677.94</v>
      </c>
      <c r="C15" s="13">
        <v>84065.75</v>
      </c>
      <c r="D15" s="8">
        <f t="shared" si="0"/>
        <v>11612.190000000002</v>
      </c>
    </row>
    <row r="16" spans="1:4" ht="12.75" hidden="1">
      <c r="A16" s="9" t="s">
        <v>14</v>
      </c>
      <c r="B16" s="8">
        <v>95677.94</v>
      </c>
      <c r="C16" s="13">
        <v>98652.7</v>
      </c>
      <c r="D16" s="8">
        <f t="shared" si="0"/>
        <v>-2974.7599999999948</v>
      </c>
    </row>
    <row r="17" spans="1:4" ht="12.75" hidden="1">
      <c r="A17" s="9" t="s">
        <v>15</v>
      </c>
      <c r="B17" s="8">
        <v>95677.94</v>
      </c>
      <c r="C17" s="13">
        <v>105681.96</v>
      </c>
      <c r="D17" s="8">
        <f t="shared" si="0"/>
        <v>-10004.020000000004</v>
      </c>
    </row>
    <row r="18" spans="1:4" ht="12.75" hidden="1">
      <c r="A18" s="9" t="s">
        <v>16</v>
      </c>
      <c r="B18" s="8">
        <v>95677.94</v>
      </c>
      <c r="C18" s="13">
        <v>90748.94</v>
      </c>
      <c r="D18" s="8">
        <f t="shared" si="0"/>
        <v>4929</v>
      </c>
    </row>
    <row r="19" spans="1:4" ht="12.75" hidden="1">
      <c r="A19" s="9" t="s">
        <v>17</v>
      </c>
      <c r="B19" s="8">
        <v>95677.94</v>
      </c>
      <c r="C19" s="13">
        <v>98305.58</v>
      </c>
      <c r="D19" s="8">
        <f t="shared" si="0"/>
        <v>-2627.6399999999994</v>
      </c>
    </row>
    <row r="20" spans="1:4" ht="12.75" hidden="1">
      <c r="A20" s="9" t="s">
        <v>18</v>
      </c>
      <c r="B20" s="8">
        <v>95677.94</v>
      </c>
      <c r="C20" s="13">
        <v>93630.85</v>
      </c>
      <c r="D20" s="8">
        <f t="shared" si="0"/>
        <v>2047.0899999999965</v>
      </c>
    </row>
    <row r="21" spans="1:4" ht="12.75" hidden="1">
      <c r="A21" s="9" t="s">
        <v>19</v>
      </c>
      <c r="B21" s="13">
        <v>105224.71</v>
      </c>
      <c r="C21" s="13">
        <v>99563.87</v>
      </c>
      <c r="D21" s="8">
        <f t="shared" si="0"/>
        <v>5660.840000000011</v>
      </c>
    </row>
    <row r="22" spans="1:4" ht="12.75" hidden="1">
      <c r="A22" s="9" t="s">
        <v>20</v>
      </c>
      <c r="B22" s="13">
        <v>105224.71</v>
      </c>
      <c r="C22" s="13">
        <v>106127.87</v>
      </c>
      <c r="D22" s="8">
        <f t="shared" si="0"/>
        <v>-903.1599999999889</v>
      </c>
    </row>
    <row r="23" spans="1:4" ht="12.75" hidden="1">
      <c r="A23" s="9" t="s">
        <v>21</v>
      </c>
      <c r="B23" s="13">
        <v>105224.71</v>
      </c>
      <c r="C23" s="13">
        <v>101609.63</v>
      </c>
      <c r="D23" s="13">
        <f t="shared" si="0"/>
        <v>3615.0800000000017</v>
      </c>
    </row>
    <row r="24" spans="1:4" ht="12.75" hidden="1">
      <c r="A24" s="9" t="s">
        <v>22</v>
      </c>
      <c r="B24" s="13">
        <v>105224.71</v>
      </c>
      <c r="C24" s="13">
        <v>116993.93</v>
      </c>
      <c r="D24" s="13">
        <f t="shared" si="0"/>
        <v>-11769.219999999987</v>
      </c>
    </row>
    <row r="25" spans="1:4" ht="12.75" hidden="1">
      <c r="A25" s="9" t="s">
        <v>23</v>
      </c>
      <c r="B25" s="13">
        <v>105224.71</v>
      </c>
      <c r="C25" s="13">
        <v>116796.01</v>
      </c>
      <c r="D25" s="13">
        <f t="shared" si="0"/>
        <v>-11571.299999999988</v>
      </c>
    </row>
    <row r="26" spans="1:4" ht="12.75">
      <c r="A26" s="7" t="s">
        <v>24</v>
      </c>
      <c r="B26" s="8">
        <f>SUM(B27:B38)</f>
        <v>386.10999999999984</v>
      </c>
      <c r="C26" s="8">
        <f>SUM(C27:C38)</f>
        <v>2058.16</v>
      </c>
      <c r="D26" s="8">
        <f>SUM(D27:D38)</f>
        <v>-1672.0499999999997</v>
      </c>
    </row>
    <row r="27" spans="1:4" ht="12.75" hidden="1">
      <c r="A27" s="9" t="s">
        <v>25</v>
      </c>
      <c r="B27" s="8">
        <v>36.97</v>
      </c>
      <c r="C27" s="8">
        <v>675.43</v>
      </c>
      <c r="D27" s="8">
        <f aca="true" t="shared" si="1" ref="D27:D38">B27-C27</f>
        <v>-638.4599999999999</v>
      </c>
    </row>
    <row r="28" spans="1:4" ht="12.75" hidden="1">
      <c r="A28" s="9" t="s">
        <v>13</v>
      </c>
      <c r="B28" s="8">
        <v>32.58</v>
      </c>
      <c r="C28" s="13">
        <v>538.91</v>
      </c>
      <c r="D28" s="8">
        <f t="shared" si="1"/>
        <v>-506.33</v>
      </c>
    </row>
    <row r="29" spans="1:4" ht="12.75" hidden="1">
      <c r="A29" s="9" t="s">
        <v>14</v>
      </c>
      <c r="B29" s="8">
        <v>32.58</v>
      </c>
      <c r="C29" s="13">
        <v>513.8</v>
      </c>
      <c r="D29" s="8">
        <f t="shared" si="1"/>
        <v>-481.21999999999997</v>
      </c>
    </row>
    <row r="30" spans="1:4" ht="12.75" hidden="1">
      <c r="A30" s="9" t="s">
        <v>15</v>
      </c>
      <c r="B30" s="8">
        <v>32.58</v>
      </c>
      <c r="C30" s="13">
        <v>46.82</v>
      </c>
      <c r="D30" s="8">
        <f t="shared" si="1"/>
        <v>-14.240000000000002</v>
      </c>
    </row>
    <row r="31" spans="1:4" ht="12.75" hidden="1">
      <c r="A31" s="9" t="s">
        <v>16</v>
      </c>
      <c r="B31" s="8">
        <v>32.58</v>
      </c>
      <c r="C31" s="13">
        <v>24.42</v>
      </c>
      <c r="D31" s="8">
        <f t="shared" si="1"/>
        <v>8.159999999999997</v>
      </c>
    </row>
    <row r="32" spans="1:4" ht="12.75" hidden="1">
      <c r="A32" s="9" t="s">
        <v>17</v>
      </c>
      <c r="B32" s="8">
        <v>32.58</v>
      </c>
      <c r="C32" s="13">
        <v>23.43</v>
      </c>
      <c r="D32" s="8">
        <f t="shared" si="1"/>
        <v>9.149999999999999</v>
      </c>
    </row>
    <row r="33" spans="1:4" ht="12.75" hidden="1">
      <c r="A33" s="9" t="s">
        <v>18</v>
      </c>
      <c r="B33" s="8">
        <v>32.58</v>
      </c>
      <c r="C33" s="13">
        <v>23.43</v>
      </c>
      <c r="D33" s="8">
        <f t="shared" si="1"/>
        <v>9.149999999999999</v>
      </c>
    </row>
    <row r="34" spans="1:4" ht="12.75" hidden="1">
      <c r="A34" s="9" t="s">
        <v>19</v>
      </c>
      <c r="B34" s="8">
        <v>32.58</v>
      </c>
      <c r="C34" s="13">
        <v>23.43</v>
      </c>
      <c r="D34" s="8">
        <f t="shared" si="1"/>
        <v>9.149999999999999</v>
      </c>
    </row>
    <row r="35" spans="1:4" ht="12.75" hidden="1">
      <c r="A35" s="9" t="s">
        <v>20</v>
      </c>
      <c r="B35" s="8">
        <v>30.27</v>
      </c>
      <c r="C35" s="13">
        <v>23.43</v>
      </c>
      <c r="D35" s="8">
        <f t="shared" si="1"/>
        <v>6.84</v>
      </c>
    </row>
    <row r="36" spans="1:4" ht="12.75" hidden="1">
      <c r="A36" s="9" t="s">
        <v>21</v>
      </c>
      <c r="B36" s="8">
        <v>30.27</v>
      </c>
      <c r="C36" s="13">
        <v>32.11</v>
      </c>
      <c r="D36" s="13">
        <f t="shared" si="1"/>
        <v>-1.8399999999999999</v>
      </c>
    </row>
    <row r="37" spans="1:4" ht="12.75" hidden="1">
      <c r="A37" s="9" t="s">
        <v>22</v>
      </c>
      <c r="B37" s="8">
        <v>30.27</v>
      </c>
      <c r="C37" s="13">
        <v>109.52</v>
      </c>
      <c r="D37" s="13">
        <f t="shared" si="1"/>
        <v>-79.25</v>
      </c>
    </row>
    <row r="38" spans="1:4" ht="12.75" hidden="1">
      <c r="A38" s="9" t="s">
        <v>23</v>
      </c>
      <c r="B38" s="8">
        <v>30.27</v>
      </c>
      <c r="C38" s="13">
        <v>23.43</v>
      </c>
      <c r="D38" s="13">
        <f t="shared" si="1"/>
        <v>6.84</v>
      </c>
    </row>
    <row r="39" spans="1:4" ht="12.75" hidden="1">
      <c r="A39" s="7" t="s">
        <v>42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>
        <v>0</v>
      </c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147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18</v>
      </c>
      <c r="B43" s="8"/>
      <c r="C43" s="8"/>
      <c r="D43" s="8">
        <f>B43-C43</f>
        <v>0</v>
      </c>
    </row>
    <row r="44" spans="1:4" ht="12.75" hidden="1">
      <c r="A44" s="9" t="s">
        <v>19</v>
      </c>
      <c r="B44" s="13"/>
      <c r="C44" s="13"/>
      <c r="D44" s="8">
        <f>B44-C44</f>
        <v>0</v>
      </c>
    </row>
    <row r="45" spans="1:4" ht="12.75" hidden="1">
      <c r="A45" s="9" t="s">
        <v>20</v>
      </c>
      <c r="B45" s="13"/>
      <c r="C45" s="13"/>
      <c r="D45" s="13">
        <f>B45-C45</f>
        <v>0</v>
      </c>
    </row>
    <row r="46" spans="1:4" ht="12.75" hidden="1">
      <c r="A46" s="9" t="s">
        <v>21</v>
      </c>
      <c r="B46" s="13"/>
      <c r="C46" s="13"/>
      <c r="D46" s="13">
        <f>B46-C46</f>
        <v>0</v>
      </c>
    </row>
    <row r="47" spans="1:4" ht="12.75" hidden="1">
      <c r="A47" s="9" t="s">
        <v>22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1196255.24</v>
      </c>
      <c r="C48" s="8">
        <f>C13+C26</f>
        <v>1201233.72</v>
      </c>
      <c r="D48" s="8">
        <f>D13+D26</f>
        <v>-4978.479999999949</v>
      </c>
    </row>
    <row r="50" spans="1:4" ht="12.75">
      <c r="A50" t="s">
        <v>27</v>
      </c>
      <c r="D50" s="12">
        <f>D48</f>
        <v>-4978.479999999949</v>
      </c>
    </row>
    <row r="52" spans="1:4" ht="12.75">
      <c r="A52" s="11" t="s">
        <v>28</v>
      </c>
      <c r="D52" s="12">
        <f>D53+D54</f>
        <v>104542.81499999999</v>
      </c>
    </row>
    <row r="53" spans="1:4" ht="12.75" hidden="1">
      <c r="A53" s="11" t="s">
        <v>29</v>
      </c>
      <c r="D53" s="12">
        <f>(2.75*2*D5)+(1.1*5*D5)+(1.21*5*D5)</f>
        <v>89435.775</v>
      </c>
    </row>
    <row r="54" spans="1:4" ht="12.75" hidden="1">
      <c r="A54" s="11" t="s">
        <v>30</v>
      </c>
      <c r="D54" s="12">
        <f>(0.24*12*D5)</f>
        <v>15107.039999999999</v>
      </c>
    </row>
    <row r="55" spans="1:4" ht="12.75">
      <c r="A55" s="11" t="s">
        <v>31</v>
      </c>
      <c r="D55" s="12">
        <f>(0.66*2*D5)</f>
        <v>6924.06</v>
      </c>
    </row>
    <row r="56" spans="1:4" ht="12.75">
      <c r="A56" s="11" t="s">
        <v>81</v>
      </c>
      <c r="D56" s="12">
        <f>(0.5*2*D5)+(0.55*5*D5)+(0.6*5*D5)</f>
        <v>35407.125</v>
      </c>
    </row>
    <row r="57" spans="1:4" ht="12.75">
      <c r="A57" s="11" t="s">
        <v>90</v>
      </c>
      <c r="D57" s="12">
        <f>(2.2*7*D5)+(2.42*5*D5)</f>
        <v>144251.25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7553.5199999999995</v>
      </c>
    </row>
    <row r="60" spans="1:7" ht="12.75">
      <c r="A60" s="11" t="s">
        <v>34</v>
      </c>
      <c r="D60" s="12">
        <f>(3.3*2*D5)+(1.2*5*D5)+(1.32*5*D5)</f>
        <v>100713.59999999999</v>
      </c>
      <c r="G60" s="19"/>
    </row>
    <row r="61" spans="1:7" ht="12.75">
      <c r="A61" s="11" t="s">
        <v>35</v>
      </c>
      <c r="D61" s="12">
        <f>(2.2*2*D5)+(4.1*5*D5)+(4.51*5*D5)</f>
        <v>248898.97499999998</v>
      </c>
      <c r="G61" s="19"/>
    </row>
    <row r="62" spans="1:4" ht="12.75">
      <c r="A62" s="11" t="s">
        <v>36</v>
      </c>
      <c r="D62" s="12">
        <f>(0.24*7*D5)+(0.26*5*D5)</f>
        <v>15631.59</v>
      </c>
    </row>
    <row r="63" spans="1:4" ht="12.75">
      <c r="A63" s="11" t="s">
        <v>82</v>
      </c>
      <c r="D63" s="12">
        <f>(0.77*2*D5)+(3.2*5*D5)+(3.52*5*D5)</f>
        <v>184326.87</v>
      </c>
    </row>
    <row r="64" spans="1:4" ht="12.75">
      <c r="A64" s="11" t="s">
        <v>37</v>
      </c>
      <c r="D64" s="12">
        <f>2.25*12*D6</f>
        <v>2700</v>
      </c>
    </row>
    <row r="65" spans="1:4" ht="12.75">
      <c r="A65" s="11" t="s">
        <v>38</v>
      </c>
      <c r="D65" s="12">
        <v>44129</v>
      </c>
    </row>
    <row r="66" spans="1:4" ht="12.75">
      <c r="A66" s="11" t="s">
        <v>39</v>
      </c>
      <c r="D66" s="12">
        <f>(1.76*2*D5)+(0.75*5*D5)+(0.83*5*D5)</f>
        <v>59903.61</v>
      </c>
    </row>
    <row r="67" spans="1:4" ht="12.75" hidden="1">
      <c r="A67" s="15" t="s">
        <v>65</v>
      </c>
      <c r="D67" s="12">
        <v>0</v>
      </c>
    </row>
    <row r="68" spans="1:4" ht="12.75">
      <c r="A68" s="11"/>
      <c r="D68" s="12"/>
    </row>
    <row r="69" spans="1:4" ht="12.75">
      <c r="A69" s="11" t="s">
        <v>40</v>
      </c>
      <c r="D69" s="12">
        <f>D52+D55+D56+D57+D58+D59+D60+D61+D62+D63+D64+D65+D66</f>
        <v>954982.4149999999</v>
      </c>
    </row>
    <row r="70" spans="1:4" ht="12.75">
      <c r="A70" s="11"/>
      <c r="D70" s="12"/>
    </row>
    <row r="71" spans="1:7" ht="12.75">
      <c r="A71" t="s">
        <v>68</v>
      </c>
      <c r="D71" s="12">
        <f>C48-D69</f>
        <v>246251.30500000005</v>
      </c>
      <c r="G71" s="18"/>
    </row>
    <row r="72" ht="12.75">
      <c r="G72" s="18"/>
    </row>
    <row r="73" spans="4:7" ht="12.75">
      <c r="D73" s="12"/>
      <c r="G73" s="18"/>
    </row>
    <row r="74" ht="12.75">
      <c r="G74" s="18"/>
    </row>
    <row r="75" ht="12.75">
      <c r="G75" s="18"/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4"/>
  <dimension ref="A3:G79"/>
  <sheetViews>
    <sheetView zoomScalePageLayoutView="0" workbookViewId="0" topLeftCell="A1">
      <selection activeCell="D70" sqref="D70"/>
    </sheetView>
  </sheetViews>
  <sheetFormatPr defaultColWidth="9.140625" defaultRowHeight="12.75"/>
  <cols>
    <col min="1" max="1" width="14.7109375" style="0" customWidth="1"/>
    <col min="2" max="2" width="15.7109375" style="0" customWidth="1"/>
    <col min="3" max="3" width="14.57421875" style="0" customWidth="1"/>
    <col min="4" max="4" width="14.00390625" style="0" customWidth="1"/>
  </cols>
  <sheetData>
    <row r="3" spans="1:7" ht="12.75">
      <c r="A3" s="1" t="s">
        <v>0</v>
      </c>
      <c r="B3" s="2" t="s">
        <v>1</v>
      </c>
      <c r="C3" s="1" t="s">
        <v>49</v>
      </c>
      <c r="D3" s="1"/>
      <c r="E3" s="1" t="s">
        <v>2</v>
      </c>
      <c r="F3" s="3">
        <v>12</v>
      </c>
      <c r="G3">
        <v>2015</v>
      </c>
    </row>
    <row r="5" spans="1:5" ht="12.75">
      <c r="A5" t="s">
        <v>3</v>
      </c>
      <c r="D5" s="4">
        <v>4256.7</v>
      </c>
      <c r="E5" s="5" t="s">
        <v>41</v>
      </c>
    </row>
    <row r="6" spans="1:5" ht="12.75">
      <c r="A6" t="s">
        <v>4</v>
      </c>
      <c r="D6" s="4">
        <v>82</v>
      </c>
      <c r="E6" s="5"/>
    </row>
    <row r="7" spans="1:5" ht="12.75">
      <c r="A7" t="s">
        <v>5</v>
      </c>
      <c r="D7" s="4">
        <v>179</v>
      </c>
      <c r="E7" s="5" t="s">
        <v>6</v>
      </c>
    </row>
    <row r="8" spans="1:5" ht="12.75">
      <c r="A8" t="s">
        <v>7</v>
      </c>
      <c r="D8" s="4">
        <v>501.6</v>
      </c>
      <c r="E8" s="5" t="s">
        <v>41</v>
      </c>
    </row>
    <row r="9" spans="1:5" ht="12.75">
      <c r="A9" t="s">
        <v>8</v>
      </c>
      <c r="D9" s="4">
        <v>2091</v>
      </c>
      <c r="E9" s="5" t="s">
        <v>41</v>
      </c>
    </row>
    <row r="10" ht="12.75" hidden="1"/>
    <row r="11" ht="12.75" hidden="1"/>
    <row r="12" spans="2:4" ht="12.75">
      <c r="B12" s="6" t="s">
        <v>9</v>
      </c>
      <c r="C12" s="6" t="s">
        <v>10</v>
      </c>
      <c r="D12" s="6" t="s">
        <v>11</v>
      </c>
    </row>
    <row r="13" spans="1:4" ht="12.75">
      <c r="A13" s="7" t="s">
        <v>12</v>
      </c>
      <c r="B13" s="8">
        <f>SUM(B14:B25)</f>
        <v>970921.2200000001</v>
      </c>
      <c r="C13" s="8">
        <f>SUM(C14:C25)</f>
        <v>946709.1700000002</v>
      </c>
      <c r="D13" s="8">
        <f>SUM(D14:D25)</f>
        <v>24212.04999999998</v>
      </c>
    </row>
    <row r="14" spans="1:4" ht="12.75" hidden="1">
      <c r="A14" s="9" t="s">
        <v>25</v>
      </c>
      <c r="B14" s="8">
        <v>77680.51</v>
      </c>
      <c r="C14" s="8">
        <v>66757.61</v>
      </c>
      <c r="D14" s="8">
        <f aca="true" t="shared" si="0" ref="D14:D25">B14-C14</f>
        <v>10922.899999999994</v>
      </c>
    </row>
    <row r="15" spans="1:4" ht="12.75" hidden="1">
      <c r="A15" s="9" t="s">
        <v>13</v>
      </c>
      <c r="B15" s="8">
        <v>77680.51</v>
      </c>
      <c r="C15" s="13">
        <v>61394.85</v>
      </c>
      <c r="D15" s="8">
        <f t="shared" si="0"/>
        <v>16285.659999999996</v>
      </c>
    </row>
    <row r="16" spans="1:4" ht="12.75" hidden="1">
      <c r="A16" s="9" t="s">
        <v>14</v>
      </c>
      <c r="B16" s="8">
        <v>77680.51</v>
      </c>
      <c r="C16" s="13">
        <v>99851.29</v>
      </c>
      <c r="D16" s="8">
        <f t="shared" si="0"/>
        <v>-22170.78</v>
      </c>
    </row>
    <row r="17" spans="1:4" ht="12.75" hidden="1">
      <c r="A17" s="9" t="s">
        <v>15</v>
      </c>
      <c r="B17" s="8">
        <v>77680.51</v>
      </c>
      <c r="C17" s="13">
        <v>73454.53</v>
      </c>
      <c r="D17" s="8">
        <f t="shared" si="0"/>
        <v>4225.979999999996</v>
      </c>
    </row>
    <row r="18" spans="1:4" ht="12.75" hidden="1">
      <c r="A18" s="9" t="s">
        <v>16</v>
      </c>
      <c r="B18" s="8">
        <v>77680.51</v>
      </c>
      <c r="C18" s="13">
        <v>65732.29</v>
      </c>
      <c r="D18" s="8">
        <f t="shared" si="0"/>
        <v>11948.220000000001</v>
      </c>
    </row>
    <row r="19" spans="1:4" ht="12.75" hidden="1">
      <c r="A19" s="9" t="s">
        <v>17</v>
      </c>
      <c r="B19" s="8">
        <v>77680.51</v>
      </c>
      <c r="C19" s="13">
        <v>71456.92</v>
      </c>
      <c r="D19" s="8">
        <f t="shared" si="0"/>
        <v>6223.5899999999965</v>
      </c>
    </row>
    <row r="20" spans="1:4" ht="12.75" hidden="1">
      <c r="A20" s="9" t="s">
        <v>18</v>
      </c>
      <c r="B20" s="8">
        <v>77680.51</v>
      </c>
      <c r="C20" s="13">
        <v>94980.51</v>
      </c>
      <c r="D20" s="8">
        <f t="shared" si="0"/>
        <v>-17300</v>
      </c>
    </row>
    <row r="21" spans="1:4" ht="12.75" hidden="1">
      <c r="A21" s="9" t="s">
        <v>19</v>
      </c>
      <c r="B21" s="13">
        <v>85431.53</v>
      </c>
      <c r="C21" s="13">
        <v>100982.67</v>
      </c>
      <c r="D21" s="8">
        <f t="shared" si="0"/>
        <v>-15551.14</v>
      </c>
    </row>
    <row r="22" spans="1:4" ht="12.75" hidden="1">
      <c r="A22" s="9" t="s">
        <v>20</v>
      </c>
      <c r="B22" s="13">
        <v>85431.53</v>
      </c>
      <c r="C22" s="13">
        <v>76381.77</v>
      </c>
      <c r="D22" s="8">
        <f t="shared" si="0"/>
        <v>9049.759999999995</v>
      </c>
    </row>
    <row r="23" spans="1:4" ht="12.75" hidden="1">
      <c r="A23" s="9" t="s">
        <v>21</v>
      </c>
      <c r="B23" s="13">
        <v>85431.53</v>
      </c>
      <c r="C23" s="13">
        <v>75752.29</v>
      </c>
      <c r="D23" s="13">
        <f t="shared" si="0"/>
        <v>9679.240000000005</v>
      </c>
    </row>
    <row r="24" spans="1:4" ht="12.75" hidden="1">
      <c r="A24" s="9" t="s">
        <v>22</v>
      </c>
      <c r="B24" s="13">
        <v>85431.53</v>
      </c>
      <c r="C24" s="13">
        <v>75665.77</v>
      </c>
      <c r="D24" s="13">
        <f t="shared" si="0"/>
        <v>9765.759999999995</v>
      </c>
    </row>
    <row r="25" spans="1:4" ht="12.75" hidden="1">
      <c r="A25" s="9" t="s">
        <v>23</v>
      </c>
      <c r="B25" s="13">
        <v>85431.53</v>
      </c>
      <c r="C25" s="13">
        <v>84298.67</v>
      </c>
      <c r="D25" s="13">
        <f t="shared" si="0"/>
        <v>1132.8600000000006</v>
      </c>
    </row>
    <row r="26" spans="1:4" ht="12.75">
      <c r="A26" s="7" t="s">
        <v>24</v>
      </c>
      <c r="B26" s="8">
        <f>SUM(B27:B38)</f>
        <v>498.72</v>
      </c>
      <c r="C26" s="8">
        <f>SUM(C27:C38)</f>
        <v>226.48</v>
      </c>
      <c r="D26" s="8">
        <f>SUM(D27:D38)</f>
        <v>272.24000000000007</v>
      </c>
    </row>
    <row r="27" spans="1:4" ht="12.75" hidden="1">
      <c r="A27" s="9" t="s">
        <v>25</v>
      </c>
      <c r="B27" s="8">
        <v>41.56</v>
      </c>
      <c r="C27" s="8">
        <v>26.89</v>
      </c>
      <c r="D27" s="8">
        <f aca="true" t="shared" si="1" ref="D27:D34">B27-C27</f>
        <v>14.670000000000002</v>
      </c>
    </row>
    <row r="28" spans="1:4" ht="12.75" hidden="1">
      <c r="A28" s="9" t="s">
        <v>13</v>
      </c>
      <c r="B28" s="8">
        <v>41.56</v>
      </c>
      <c r="C28" s="13">
        <v>20.78</v>
      </c>
      <c r="D28" s="8">
        <f t="shared" si="1"/>
        <v>20.78</v>
      </c>
    </row>
    <row r="29" spans="1:4" ht="12.75" hidden="1">
      <c r="A29" s="9" t="s">
        <v>14</v>
      </c>
      <c r="B29" s="8">
        <v>41.56</v>
      </c>
      <c r="C29" s="13">
        <v>31.58</v>
      </c>
      <c r="D29" s="8">
        <f t="shared" si="1"/>
        <v>9.980000000000004</v>
      </c>
    </row>
    <row r="30" spans="1:4" ht="12.75" hidden="1">
      <c r="A30" s="9" t="s">
        <v>15</v>
      </c>
      <c r="B30" s="8">
        <v>41.56</v>
      </c>
      <c r="C30" s="13">
        <v>27.26</v>
      </c>
      <c r="D30" s="8">
        <f t="shared" si="1"/>
        <v>14.3</v>
      </c>
    </row>
    <row r="31" spans="1:4" ht="12.75" hidden="1">
      <c r="A31" s="9" t="s">
        <v>16</v>
      </c>
      <c r="B31" s="8">
        <v>41.56</v>
      </c>
      <c r="C31" s="13">
        <v>14.65</v>
      </c>
      <c r="D31" s="8">
        <f t="shared" si="1"/>
        <v>26.910000000000004</v>
      </c>
    </row>
    <row r="32" spans="1:4" ht="12.75" hidden="1">
      <c r="A32" s="9" t="s">
        <v>17</v>
      </c>
      <c r="B32" s="8">
        <v>41.56</v>
      </c>
      <c r="C32" s="13">
        <v>38.03</v>
      </c>
      <c r="D32" s="8">
        <f t="shared" si="1"/>
        <v>3.530000000000001</v>
      </c>
    </row>
    <row r="33" spans="1:4" ht="12.75" hidden="1">
      <c r="A33" s="9" t="s">
        <v>18</v>
      </c>
      <c r="B33" s="8">
        <v>41.56</v>
      </c>
      <c r="C33" s="13">
        <v>37.35</v>
      </c>
      <c r="D33" s="8">
        <f t="shared" si="1"/>
        <v>4.210000000000001</v>
      </c>
    </row>
    <row r="34" spans="1:4" ht="12.75" hidden="1">
      <c r="A34" s="9" t="s">
        <v>19</v>
      </c>
      <c r="B34" s="8">
        <v>41.56</v>
      </c>
      <c r="C34" s="13">
        <v>34.56</v>
      </c>
      <c r="D34" s="8">
        <f t="shared" si="1"/>
        <v>7</v>
      </c>
    </row>
    <row r="35" spans="1:4" ht="12.75" hidden="1">
      <c r="A35" s="9" t="s">
        <v>20</v>
      </c>
      <c r="B35" s="8">
        <v>41.56</v>
      </c>
      <c r="C35" s="13">
        <v>26.27</v>
      </c>
      <c r="D35" s="8">
        <f>B35-C35</f>
        <v>15.290000000000003</v>
      </c>
    </row>
    <row r="36" spans="1:4" ht="12.75" hidden="1">
      <c r="A36" s="9" t="s">
        <v>21</v>
      </c>
      <c r="B36" s="8">
        <v>41.56</v>
      </c>
      <c r="C36" s="13">
        <v>-101.55</v>
      </c>
      <c r="D36" s="13">
        <f>B36-C36</f>
        <v>143.11</v>
      </c>
    </row>
    <row r="37" spans="1:4" ht="12.75" hidden="1">
      <c r="A37" s="9" t="s">
        <v>22</v>
      </c>
      <c r="B37" s="8">
        <v>41.56</v>
      </c>
      <c r="C37" s="13">
        <v>40.2</v>
      </c>
      <c r="D37" s="13">
        <f>B37-C37</f>
        <v>1.3599999999999994</v>
      </c>
    </row>
    <row r="38" spans="1:4" ht="12.75" hidden="1">
      <c r="A38" s="9" t="s">
        <v>23</v>
      </c>
      <c r="B38" s="8">
        <v>41.56</v>
      </c>
      <c r="C38" s="13">
        <v>30.46</v>
      </c>
      <c r="D38" s="13">
        <f>B38-C38</f>
        <v>11.100000000000001</v>
      </c>
    </row>
    <row r="39" spans="1:4" ht="12.75" hidden="1">
      <c r="A39" s="7" t="s">
        <v>147</v>
      </c>
      <c r="B39" s="13">
        <f>B40+B41</f>
        <v>0</v>
      </c>
      <c r="C39" s="13">
        <f>C40+C41</f>
        <v>0</v>
      </c>
      <c r="D39" s="13">
        <f>SUM(D40:D41)</f>
        <v>0</v>
      </c>
    </row>
    <row r="40" spans="1:4" ht="12.75" hidden="1">
      <c r="A40" s="9" t="s">
        <v>22</v>
      </c>
      <c r="B40" s="13"/>
      <c r="C40" s="13"/>
      <c r="D40" s="13">
        <f>B40-C40</f>
        <v>0</v>
      </c>
    </row>
    <row r="41" spans="1:4" ht="12.75" hidden="1">
      <c r="A41" s="9" t="s">
        <v>23</v>
      </c>
      <c r="B41" s="13"/>
      <c r="C41" s="13"/>
      <c r="D41" s="13">
        <f>B41-C41</f>
        <v>0</v>
      </c>
    </row>
    <row r="42" spans="1:4" ht="12.75" hidden="1">
      <c r="A42" s="7" t="s">
        <v>43</v>
      </c>
      <c r="B42" s="13">
        <f>B43+B44+B45+B46+B47</f>
        <v>0</v>
      </c>
      <c r="C42" s="13">
        <f>C43+C44+C45+C46+C47</f>
        <v>0</v>
      </c>
      <c r="D42" s="13">
        <f>SUM(D43:D47)</f>
        <v>0</v>
      </c>
    </row>
    <row r="43" spans="1:4" ht="12.75" hidden="1">
      <c r="A43" s="9" t="s">
        <v>19</v>
      </c>
      <c r="B43" s="8"/>
      <c r="C43" s="8"/>
      <c r="D43" s="8">
        <f>B43-C43</f>
        <v>0</v>
      </c>
    </row>
    <row r="44" spans="1:4" ht="12.75" hidden="1">
      <c r="A44" s="9" t="s">
        <v>20</v>
      </c>
      <c r="B44" s="13"/>
      <c r="C44" s="13"/>
      <c r="D44" s="8">
        <f>B44-C44</f>
        <v>0</v>
      </c>
    </row>
    <row r="45" spans="1:4" ht="12.75" hidden="1">
      <c r="A45" s="9" t="s">
        <v>21</v>
      </c>
      <c r="B45" s="13"/>
      <c r="C45" s="13"/>
      <c r="D45" s="13">
        <f>B45-C45</f>
        <v>0</v>
      </c>
    </row>
    <row r="46" spans="1:4" ht="12.75" hidden="1">
      <c r="A46" s="9" t="s">
        <v>22</v>
      </c>
      <c r="B46" s="13"/>
      <c r="C46" s="13"/>
      <c r="D46" s="13">
        <f>B46-C46</f>
        <v>0</v>
      </c>
    </row>
    <row r="47" spans="1:4" ht="12.75" hidden="1">
      <c r="A47" s="9" t="s">
        <v>23</v>
      </c>
      <c r="B47" s="13"/>
      <c r="C47" s="13"/>
      <c r="D47" s="13">
        <f>B47-C47</f>
        <v>0</v>
      </c>
    </row>
    <row r="48" spans="1:4" ht="12.75">
      <c r="A48" s="9" t="s">
        <v>26</v>
      </c>
      <c r="B48" s="8">
        <f>B13+B26</f>
        <v>971419.9400000001</v>
      </c>
      <c r="C48" s="8">
        <f>C13+C26</f>
        <v>946935.6500000001</v>
      </c>
      <c r="D48" s="8">
        <f>D13+D26</f>
        <v>24484.289999999983</v>
      </c>
    </row>
    <row r="50" spans="1:4" ht="12.75">
      <c r="A50" t="s">
        <v>27</v>
      </c>
      <c r="D50" s="12">
        <f>D48</f>
        <v>24484.289999999983</v>
      </c>
    </row>
    <row r="52" spans="1:4" ht="12.75">
      <c r="A52" s="11" t="s">
        <v>28</v>
      </c>
      <c r="D52" s="12">
        <f>D53+D54</f>
        <v>84836.031</v>
      </c>
    </row>
    <row r="53" spans="1:4" ht="12.75" hidden="1">
      <c r="A53" s="11" t="s">
        <v>29</v>
      </c>
      <c r="D53" s="12">
        <f>(2.75*2*D5)+(1.1*5*D5)+(1.21*5*D5)</f>
        <v>72576.735</v>
      </c>
    </row>
    <row r="54" spans="1:4" ht="12.75" hidden="1">
      <c r="A54" s="11" t="s">
        <v>30</v>
      </c>
      <c r="D54" s="12">
        <f>(0.24*12*D5)</f>
        <v>12259.295999999998</v>
      </c>
    </row>
    <row r="55" spans="1:4" ht="12.75">
      <c r="A55" s="11" t="s">
        <v>31</v>
      </c>
      <c r="D55" s="12">
        <f>(0.66*2*D5)</f>
        <v>5618.844</v>
      </c>
    </row>
    <row r="56" spans="1:4" ht="12.75">
      <c r="A56" s="11" t="s">
        <v>81</v>
      </c>
      <c r="D56" s="12">
        <f>(0.5*2*D5)+(0.55*5*D5)+(0.6*5*D5)</f>
        <v>28732.725</v>
      </c>
    </row>
    <row r="57" spans="1:4" ht="12.75">
      <c r="A57" s="11" t="s">
        <v>90</v>
      </c>
      <c r="D57" s="12">
        <f>(2.2*7*D5)+(2.42*5*D5)</f>
        <v>117059.25</v>
      </c>
    </row>
    <row r="58" spans="1:4" ht="12.75" hidden="1">
      <c r="A58" s="11" t="s">
        <v>33</v>
      </c>
      <c r="D58" s="12">
        <v>0</v>
      </c>
    </row>
    <row r="59" spans="1:4" ht="12.75">
      <c r="A59" s="11" t="s">
        <v>80</v>
      </c>
      <c r="D59" s="12">
        <f>(0.72*2*D5)</f>
        <v>6129.647999999999</v>
      </c>
    </row>
    <row r="60" spans="1:7" ht="12.75">
      <c r="A60" s="11" t="s">
        <v>34</v>
      </c>
      <c r="D60" s="12">
        <f>(3.3*2*D5)+(1.2*5*D5)+(1.32*5*D5)</f>
        <v>81728.64</v>
      </c>
      <c r="G60" s="21"/>
    </row>
    <row r="61" spans="1:7" ht="12.75">
      <c r="A61" s="11" t="s">
        <v>35</v>
      </c>
      <c r="D61" s="12">
        <f>(2.2*2*D5)+(4.1*5*D5)+(4.51*5*D5)</f>
        <v>201980.41499999998</v>
      </c>
      <c r="G61" s="21"/>
    </row>
    <row r="62" spans="1:7" ht="12.75">
      <c r="A62" s="11" t="s">
        <v>36</v>
      </c>
      <c r="D62" s="12">
        <f>(0.24*7*D5)+(0.26*5*D5)</f>
        <v>12684.966</v>
      </c>
      <c r="G62" s="17"/>
    </row>
    <row r="63" spans="1:7" ht="12.75">
      <c r="A63" s="11" t="s">
        <v>82</v>
      </c>
      <c r="D63" s="12">
        <f>(0.77*2*D5)+(3.2*5*D5)+(3.52*5*D5)</f>
        <v>149580.438</v>
      </c>
      <c r="G63" s="17"/>
    </row>
    <row r="64" spans="1:7" ht="12.75">
      <c r="A64" s="11" t="s">
        <v>37</v>
      </c>
      <c r="D64" s="12">
        <f>2.25*12*D6</f>
        <v>2214</v>
      </c>
      <c r="G64" s="17"/>
    </row>
    <row r="65" spans="1:7" ht="12.75">
      <c r="A65" s="11" t="s">
        <v>38</v>
      </c>
      <c r="D65" s="12">
        <v>516332</v>
      </c>
      <c r="G65" s="17"/>
    </row>
    <row r="66" spans="1:7" ht="12.75">
      <c r="A66" s="11" t="s">
        <v>39</v>
      </c>
      <c r="D66" s="12">
        <f>(1.76*2*D5)+(0.75*5*D5)+(0.83*5*D5)</f>
        <v>48611.513999999996</v>
      </c>
      <c r="G66" s="17"/>
    </row>
    <row r="67" spans="1:7" ht="12.75" hidden="1">
      <c r="A67" s="15" t="s">
        <v>65</v>
      </c>
      <c r="D67" s="12">
        <v>0</v>
      </c>
      <c r="G67" s="17"/>
    </row>
    <row r="68" spans="1:7" ht="12.75">
      <c r="A68" s="11"/>
      <c r="D68" s="12"/>
      <c r="G68" s="18"/>
    </row>
    <row r="69" spans="1:7" ht="12.75">
      <c r="A69" s="11" t="s">
        <v>40</v>
      </c>
      <c r="D69" s="12">
        <f>D52+D55+D57+D59+D60+D61+D62+D63+D64+D65+D66+D56</f>
        <v>1255508.471</v>
      </c>
      <c r="G69" s="18"/>
    </row>
    <row r="70" spans="1:7" ht="12.75">
      <c r="A70" s="11"/>
      <c r="D70" s="12"/>
      <c r="G70" s="18"/>
    </row>
    <row r="71" spans="1:7" ht="12.75">
      <c r="A71" t="s">
        <v>68</v>
      </c>
      <c r="D71" s="12">
        <f>C48-D69</f>
        <v>-308572.82099999976</v>
      </c>
      <c r="G71" s="18"/>
    </row>
    <row r="72" ht="12.75">
      <c r="G72" s="18"/>
    </row>
    <row r="73" spans="4:7" ht="12.75">
      <c r="D73" s="12"/>
      <c r="G73" s="18"/>
    </row>
    <row r="74" ht="12.75">
      <c r="G74" s="18"/>
    </row>
    <row r="75" ht="12.75">
      <c r="G75" s="18"/>
    </row>
    <row r="76" ht="12.75">
      <c r="G76" s="18"/>
    </row>
    <row r="77" ht="12.75">
      <c r="G77" s="18"/>
    </row>
    <row r="78" ht="14.25" customHeight="1">
      <c r="G78" s="18"/>
    </row>
    <row r="79" ht="12.75">
      <c r="G79" s="18"/>
    </row>
    <row r="80" ht="12.75" hidden="1"/>
    <row r="81" ht="12.75" hidden="1"/>
    <row r="86" ht="12.75" hidden="1"/>
    <row r="94" ht="12.75" hidden="1"/>
    <row r="95" ht="12.75" hidden="1"/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2016-05-31T10:54:19Z</cp:lastPrinted>
  <dcterms:created xsi:type="dcterms:W3CDTF">1996-10-08T23:32:33Z</dcterms:created>
  <dcterms:modified xsi:type="dcterms:W3CDTF">2016-05-31T12:02:44Z</dcterms:modified>
  <cp:category/>
  <cp:version/>
  <cp:contentType/>
  <cp:contentStatus/>
</cp:coreProperties>
</file>