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95" firstSheet="34" activeTab="43"/>
  </bookViews>
  <sheets>
    <sheet name="Гагарина 11" sheetId="1" r:id="rId1"/>
    <sheet name="Гагарина 13" sheetId="2" r:id="rId2"/>
    <sheet name="Гагарина 2а" sheetId="3" r:id="rId3"/>
    <sheet name="Гагарина 2б" sheetId="4" r:id="rId4"/>
    <sheet name="Гагарина 2в" sheetId="5" r:id="rId5"/>
    <sheet name="Гагарина 2г" sheetId="6" r:id="rId6"/>
    <sheet name="Гагарина 9" sheetId="7" r:id="rId7"/>
    <sheet name="Гризодубовой 31" sheetId="8" r:id="rId8"/>
    <sheet name="Дубовая роща 12" sheetId="9" r:id="rId9"/>
    <sheet name="Дубовая роща 9" sheetId="10" r:id="rId10"/>
    <sheet name="коммун 6" sheetId="11" r:id="rId11"/>
    <sheet name="Коммунальная 6а" sheetId="12" r:id="rId12"/>
    <sheet name="Ленинская 5" sheetId="13" r:id="rId13"/>
    <sheet name="М.Расковой 23-4" sheetId="14" r:id="rId14"/>
    <sheet name="М.Расковой 32" sheetId="15" r:id="rId15"/>
    <sheet name="М.Расковой 32 б" sheetId="16" r:id="rId16"/>
    <sheet name="М.Расковой 34б" sheetId="17" r:id="rId17"/>
    <sheet name="Моторная 7" sheetId="18" r:id="rId18"/>
    <sheet name="Н.Стройка 10" sheetId="19" r:id="rId19"/>
    <sheet name="Н.Стройка 12" sheetId="20" r:id="rId20"/>
    <sheet name="Н.Стройка 14" sheetId="21" r:id="rId21"/>
    <sheet name="Н.Стройка 4" sheetId="22" r:id="rId22"/>
    <sheet name="Осипенко 38" sheetId="23" r:id="rId23"/>
    <sheet name="Осипенко 40" sheetId="24" r:id="rId24"/>
    <sheet name="Осипенко 43" sheetId="25" r:id="rId25"/>
    <sheet name="сем 11" sheetId="26" r:id="rId26"/>
    <sheet name="Семашко 13" sheetId="27" r:id="rId27"/>
    <sheet name="Семашко 17" sheetId="28" r:id="rId28"/>
    <sheet name="Семашко 3" sheetId="29" r:id="rId29"/>
    <sheet name="Семашко 5" sheetId="30" r:id="rId30"/>
    <sheet name="Семашко 5а" sheetId="31" r:id="rId31"/>
    <sheet name="СХТ 3" sheetId="32" r:id="rId32"/>
    <sheet name="СХТ 4" sheetId="33" r:id="rId33"/>
    <sheet name="Хлебозаводская 120" sheetId="34" r:id="rId34"/>
    <sheet name="Хлебозаводская 134" sheetId="35" r:id="rId35"/>
    <sheet name="Хлебозаводская 136" sheetId="36" r:id="rId36"/>
    <sheet name="Школьная 33" sheetId="37" r:id="rId37"/>
    <sheet name="мол 1" sheetId="38" r:id="rId38"/>
    <sheet name="мол 2" sheetId="39" r:id="rId39"/>
    <sheet name="мол 3" sheetId="40" r:id="rId40"/>
    <sheet name="мол 4" sheetId="41" r:id="rId41"/>
    <sheet name="мол 5" sheetId="42" r:id="rId42"/>
    <sheet name="мол 6" sheetId="43" r:id="rId43"/>
    <sheet name="мол 7" sheetId="44" r:id="rId44"/>
  </sheets>
  <definedNames/>
  <calcPr fullCalcOnLoad="1"/>
</workbook>
</file>

<file path=xl/sharedStrings.xml><?xml version="1.0" encoding="utf-8"?>
<sst xmlns="http://schemas.openxmlformats.org/spreadsheetml/2006/main" count="3395" uniqueCount="221">
  <si>
    <t>смена унитаза</t>
  </si>
  <si>
    <t>за период с 01.01.2018-31.12.2018 г.</t>
  </si>
  <si>
    <t>Отчет о проделанной работе по ООО "Грязинское управление МКД"</t>
  </si>
  <si>
    <t xml:space="preserve">Отчет по ООО "Грязинское управление МКД" </t>
  </si>
  <si>
    <t>за период с 01.01.2018-31.12.2018</t>
  </si>
  <si>
    <t>за период с 01.01.2018г-31.12.2018г.</t>
  </si>
  <si>
    <t>Отчет по ООО "Грязинское управление МКД" за период с 01.01.2018г-31.12.2018г.</t>
  </si>
  <si>
    <t>Отчет по ООО "Грязинское управление МКД" за период с 01.01.2018-31.12.2018</t>
  </si>
  <si>
    <t>Отчет по ООО "Грязинское управление МКД" за период с 01.01.2018-31.12.2018г.</t>
  </si>
  <si>
    <t>Отчет по ООО "Грязинское управление МКД" за период с 01.01.2018- 31.12.2018г.</t>
  </si>
  <si>
    <t>Отчет по ООО "Грязинское управление МКД" за период с 01.01.2018-31.12.2018 г.</t>
  </si>
  <si>
    <t>Отчет о проделанной работе по ООО "Грязинское управление МКД"                                                 за период с 01.01.2018-31.12.2018г.</t>
  </si>
  <si>
    <t>Отчет о проделанной работе по ООО "Грязинское управление МКД" за период с 01.01.2018-31.12.2018</t>
  </si>
  <si>
    <t>Отчет о проделанной работе по ООО "Грязинское управление МКД" за период с 01.01.2018-31.12.2018г.</t>
  </si>
  <si>
    <t>Отчет о проделанной работе по ООО Грязинское управление МКД</t>
  </si>
  <si>
    <t>уст-ка прибора учета ХВС</t>
  </si>
  <si>
    <t>уст-ка песочницы</t>
  </si>
  <si>
    <t>смена запорной арматуры</t>
  </si>
  <si>
    <t>эл/монтажные работы</t>
  </si>
  <si>
    <t>32 б</t>
  </si>
  <si>
    <t>окраска малых форм</t>
  </si>
  <si>
    <t>прочитска канализ.</t>
  </si>
  <si>
    <t>ГВС</t>
  </si>
  <si>
    <t>ХВС</t>
  </si>
  <si>
    <t>уст-во контейнерной площадки</t>
  </si>
  <si>
    <t>окраска метал.забора и малых форм</t>
  </si>
  <si>
    <t>установка почтовых ящиков</t>
  </si>
  <si>
    <t>эл/монт работы</t>
  </si>
  <si>
    <t>изоляция труб ц/о и ГВС</t>
  </si>
  <si>
    <t>изоляция труб ц/о</t>
  </si>
  <si>
    <t>уст-во отмостки</t>
  </si>
  <si>
    <t>окраска окон</t>
  </si>
  <si>
    <t>ремонт и гермет.межпан.швов</t>
  </si>
  <si>
    <t>уст-ка почтовых ящиков</t>
  </si>
  <si>
    <t>г.Грязи</t>
  </si>
  <si>
    <t>ул.</t>
  </si>
  <si>
    <t>д.</t>
  </si>
  <si>
    <t>Общая площадь дома</t>
  </si>
  <si>
    <t>Число квартир</t>
  </si>
  <si>
    <t>Число проживающих</t>
  </si>
  <si>
    <t>чел.</t>
  </si>
  <si>
    <t>Площадь лестничных клеток</t>
  </si>
  <si>
    <t>Придомовая территория</t>
  </si>
  <si>
    <t>Начислено</t>
  </si>
  <si>
    <t>Оплачено</t>
  </si>
  <si>
    <t>Долг</t>
  </si>
  <si>
    <t>Содержание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</si>
  <si>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</si>
  <si>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</si>
  <si>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</si>
  <si>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</si>
  <si>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</si>
  <si>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</si>
  <si>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</si>
  <si>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</si>
  <si>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</si>
  <si>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</si>
  <si>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</si>
  <si>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Найм</t>
  </si>
  <si>
    <t>Январь</t>
  </si>
  <si>
    <t>ИТОГО</t>
  </si>
  <si>
    <t>Долг по дому составил</t>
  </si>
  <si>
    <t>Услуги АДС составили:</t>
  </si>
  <si>
    <t xml:space="preserve">     абонентская плата АДС составила:</t>
  </si>
  <si>
    <t xml:space="preserve">     обслуживание вент.каналов</t>
  </si>
  <si>
    <t>Обслуживание приборов учета</t>
  </si>
  <si>
    <t>Вывоз крупногабаритного мусора составил:</t>
  </si>
  <si>
    <t>Уборка лестничных клеток:</t>
  </si>
  <si>
    <t>Уборка дворовых территорий:</t>
  </si>
  <si>
    <t>Обслужив.внутридомовогогазов.оборуд.:</t>
  </si>
  <si>
    <t>Разноска квитанций:</t>
  </si>
  <si>
    <t>Текущий ремонт:</t>
  </si>
  <si>
    <t>Заявочный ремонт (сод.общедом.имущ.)</t>
  </si>
  <si>
    <t>ВСЕГО РАСХОДОВ</t>
  </si>
  <si>
    <r>
      <t>м</t>
    </r>
    <r>
      <rPr>
        <b/>
        <sz val="10"/>
        <rFont val="Arial Cyr"/>
        <family val="0"/>
      </rPr>
      <t>²</t>
    </r>
  </si>
  <si>
    <t>Установка ОДПУ ХВ</t>
  </si>
  <si>
    <t>Установка ОДПУ ГВ</t>
  </si>
  <si>
    <t>Гагарина</t>
  </si>
  <si>
    <t>2а</t>
  </si>
  <si>
    <t>2б</t>
  </si>
  <si>
    <t>2в</t>
  </si>
  <si>
    <t>Дубовая роща</t>
  </si>
  <si>
    <t>М.Расковой</t>
  </si>
  <si>
    <t>34б</t>
  </si>
  <si>
    <t>Моторная</t>
  </si>
  <si>
    <t>5а</t>
  </si>
  <si>
    <t xml:space="preserve">Осипенко </t>
  </si>
  <si>
    <t>Семашко</t>
  </si>
  <si>
    <t>Хлебозаводская</t>
  </si>
  <si>
    <t>2г</t>
  </si>
  <si>
    <t>Гризодубовой</t>
  </si>
  <si>
    <t>Н.Стройка</t>
  </si>
  <si>
    <t>Осипенко</t>
  </si>
  <si>
    <t>Коммунальная</t>
  </si>
  <si>
    <t>6а</t>
  </si>
  <si>
    <t>Ленинская</t>
  </si>
  <si>
    <t>Установка ОДПУ</t>
  </si>
  <si>
    <t>Молодежная</t>
  </si>
  <si>
    <t>Обслуживание лифтов</t>
  </si>
  <si>
    <t xml:space="preserve">Остаток: </t>
  </si>
  <si>
    <t xml:space="preserve">Остаток:  </t>
  </si>
  <si>
    <t>1,2*3</t>
  </si>
  <si>
    <t>1,2*2</t>
  </si>
  <si>
    <t>Остаток:</t>
  </si>
  <si>
    <t>23/4</t>
  </si>
  <si>
    <t>СХТ</t>
  </si>
  <si>
    <t>Школьная</t>
  </si>
  <si>
    <t>РКЦ ,паспортный стол:</t>
  </si>
  <si>
    <t>Выкашивание придворовых территорий:</t>
  </si>
  <si>
    <t>Дератизация, дезинсекция:</t>
  </si>
  <si>
    <t>РКЦ, паспортный стол:</t>
  </si>
  <si>
    <t>уст-во козырьков над подъездами</t>
  </si>
  <si>
    <t>монтаж огражд.конт.пл.</t>
  </si>
  <si>
    <t>ремонт внутреннего водостока</t>
  </si>
  <si>
    <t>установка насоса</t>
  </si>
  <si>
    <t>смена окон ПВХ (50% суммы по СЗ)</t>
  </si>
  <si>
    <t>эл/монт работы, смена канализ.</t>
  </si>
  <si>
    <t>эл/монт работы, ремонт рулонной кровли, смена канализ.</t>
  </si>
  <si>
    <t>эл/монт работы, ремонт рулонной кровли</t>
  </si>
  <si>
    <t>прочистка канализ.</t>
  </si>
  <si>
    <t>Уборка лестничных клеток и придомовой территории:</t>
  </si>
  <si>
    <t>Вывоз ТБО и КГМ составил:</t>
  </si>
  <si>
    <t>Услуги по договору</t>
  </si>
  <si>
    <t>остекление</t>
  </si>
  <si>
    <t>ц/о</t>
  </si>
  <si>
    <t>ремонт детского городка</t>
  </si>
  <si>
    <t>смена канализ</t>
  </si>
  <si>
    <t>ремонт рулонной кровли</t>
  </si>
  <si>
    <t>окраска детской площадки</t>
  </si>
  <si>
    <t>уст-во козырька над подъездом</t>
  </si>
  <si>
    <t>восстановление кирпичной кладки перегородок</t>
  </si>
  <si>
    <t>обшивка балкона</t>
  </si>
  <si>
    <t>ремонт подъезда №3, уст-во дерев.решеток, ремонт входной группы (2,3 под.)</t>
  </si>
  <si>
    <t>смена канализ.,ХВС</t>
  </si>
  <si>
    <t>уст-во стяжки</t>
  </si>
  <si>
    <t>ц/о (чердак)</t>
  </si>
  <si>
    <t>ремонт двери в подвал</t>
  </si>
  <si>
    <t>ремонт подъезда</t>
  </si>
  <si>
    <t>смена канализ.</t>
  </si>
  <si>
    <t xml:space="preserve">Поверка ОДПУ </t>
  </si>
  <si>
    <t>Поверка ОДПУ</t>
  </si>
  <si>
    <t>ремонт и герметизация межпан.швов</t>
  </si>
  <si>
    <t>ремонт шиферной кровли на шахте выхода на кровлю</t>
  </si>
  <si>
    <t>уст-ка прибора учета ГВС</t>
  </si>
  <si>
    <t>смена ливневой канализации</t>
  </si>
  <si>
    <t>ремонт кирпичной кладки приямка входа в подвал и ступеней</t>
  </si>
  <si>
    <t>ремонт и окраска лавочек</t>
  </si>
  <si>
    <t>ремонт детских качелей</t>
  </si>
  <si>
    <t>укрепление ограждения над входным козырьком</t>
  </si>
  <si>
    <t>смена канализ, ХВС и ГВС</t>
  </si>
  <si>
    <t>ремонт ливневого водоотведения</t>
  </si>
  <si>
    <t>ремонт подъезда и входной группы</t>
  </si>
  <si>
    <t>ремонт двери шахты выхода на кровлю</t>
  </si>
  <si>
    <t>ремонт и окраска малых форм</t>
  </si>
  <si>
    <t>ремонт и окраска дерев.забора и малых форм</t>
  </si>
  <si>
    <t>ремонт беседки</t>
  </si>
  <si>
    <t>ремонт и окраска цоколя,ремонт пола и люка в полу подъезда</t>
  </si>
  <si>
    <t>ремонт ступеней при входе в подъезд</t>
  </si>
  <si>
    <t>ремонт пола</t>
  </si>
  <si>
    <t>восстановление стяжки</t>
  </si>
  <si>
    <t>ремонт деревянного забора</t>
  </si>
  <si>
    <t>изготовление тамбурной двери и перегородки</t>
  </si>
  <si>
    <t>уст-во козырьков над вент.шахтами</t>
  </si>
  <si>
    <t>ремонт и герм.межпан.швов</t>
  </si>
  <si>
    <t xml:space="preserve">остекление </t>
  </si>
  <si>
    <t>устр.деревян.решеток на окна</t>
  </si>
  <si>
    <t>эл/монт работы, остекление</t>
  </si>
  <si>
    <t>ремонт подъездов (4 под.)</t>
  </si>
  <si>
    <t>ремонт двери входа на кровлю</t>
  </si>
  <si>
    <t>устан.почтовых ящиков</t>
  </si>
  <si>
    <t>эл/монт работы (нар.освещ,подвал,подъезды,тамбура)</t>
  </si>
  <si>
    <t>устр.деревянных ступеней</t>
  </si>
  <si>
    <t>обивка балкона</t>
  </si>
  <si>
    <t>ремонт и окраска цоколя и входных групп,окраска газовой трубы</t>
  </si>
  <si>
    <t>обрамление ж/б ступеней</t>
  </si>
  <si>
    <t>эл/монтаж работы</t>
  </si>
  <si>
    <t>смена канализ. (ввод)</t>
  </si>
  <si>
    <t>смена канализ.(подвал)</t>
  </si>
  <si>
    <t>утепление квартиры на чердаке кв. 116</t>
  </si>
  <si>
    <t>ремонтные работы</t>
  </si>
  <si>
    <t>ремонт систем ХВС и ГВС</t>
  </si>
  <si>
    <t>установка прибора учета ХВС</t>
  </si>
  <si>
    <t>уст.почтовых ящиков</t>
  </si>
  <si>
    <t>ремонт трубопровода ц/о</t>
  </si>
  <si>
    <t>ремонт трубопроводов ГВС и ХВС</t>
  </si>
  <si>
    <t>ремонт трубопровода ХВС и ГВС</t>
  </si>
  <si>
    <t>ремонт трубопровода ГВС</t>
  </si>
  <si>
    <t>заделка монтажного отверстия</t>
  </si>
  <si>
    <t>уст.прибора учета ХВС</t>
  </si>
  <si>
    <t>ремонт трубопровода ГВС и ХВС</t>
  </si>
  <si>
    <t>ремонт и гермет.межпанельных швов</t>
  </si>
  <si>
    <t>ремонт трубопровода системы ц/о</t>
  </si>
  <si>
    <t>прочисткаканализ.</t>
  </si>
  <si>
    <t>прочистка канализ</t>
  </si>
  <si>
    <t>ремонт двери входа в подвал</t>
  </si>
  <si>
    <t>ремонт ограждения входных козырьков</t>
  </si>
  <si>
    <t>ХВС И ГВС, ц/о</t>
  </si>
  <si>
    <t>ремонт двери входа в подъезд, облицовка козырька</t>
  </si>
  <si>
    <t>окраска песочницы</t>
  </si>
  <si>
    <t>окраска мет.забора и малых форм</t>
  </si>
  <si>
    <t>ремонт и герм.межпан швов</t>
  </si>
  <si>
    <t>ремонт и гермет.межпан швов</t>
  </si>
  <si>
    <t>ремонт лавочки</t>
  </si>
  <si>
    <t>устройство отмостки</t>
  </si>
  <si>
    <t>остекление,ремонт двери входа в подвал</t>
  </si>
  <si>
    <t>за период с 01.01.2018-31.12.2018г.</t>
  </si>
  <si>
    <t>ремонт тумб канализационной системы (подвал)</t>
  </si>
  <si>
    <t>ремонт ступеней на входе в подъезд</t>
  </si>
  <si>
    <t>ремонт стола и лавочек</t>
  </si>
  <si>
    <t>хвс, ремонт качелей</t>
  </si>
  <si>
    <t>смена канализ, ц/о, ХВС и ГВС</t>
  </si>
  <si>
    <t>ц/о (ввод)</t>
  </si>
  <si>
    <t>уст-во скамеек</t>
  </si>
  <si>
    <t>ремонт деревянных полов</t>
  </si>
  <si>
    <t>ремонт стола</t>
  </si>
  <si>
    <t>уст-во вент.решеток</t>
  </si>
  <si>
    <t>ремонт скамейки и качелей</t>
  </si>
  <si>
    <t>окраска деревянного забора, малых форм</t>
  </si>
  <si>
    <t>ремонт двери выхода на чердак</t>
  </si>
  <si>
    <t>ремонт штукатурки стен</t>
  </si>
  <si>
    <t>ремонт подъездов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</si>
</sst>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  <numFmt numFmtId="190" formatCode="0.000"/>
    <numFmt numFmtId="191" formatCode="#,##0.00&quot;р.&quot;"/>
    <numFmt numFmtId="192" formatCode="000000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189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89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189" fontId="0" fillId="0" borderId="0" xfId="0" applyNumberFormat="1" applyAlignment="1">
      <alignment/>
    </xf>
    <xf numFmtId="189" fontId="7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4" borderId="0" xfId="0" applyFill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G79"/>
  <sheetViews>
    <sheetView zoomScalePageLayoutView="0" workbookViewId="0" topLeftCell="A1">
      <selection activeCell="A1" sqref="A1:IV2"/>
    </sheetView>
  </sheetViews>
  <sheetFormatPr defaultColWidth="9.140625" defaultRowHeight="12.75"/>
  <cols>
    <col min="2" max="3" width="14.140625" style="0" bestFit="1" customWidth="1"/>
    <col min="4" max="4" width="12.00390625" style="0" bestFit="1" customWidth="1"/>
  </cols>
  <sheetData>
    <row r="1" ht="12.75">
      <c r="A1" t="s">
        <v>2</v>
      </c>
    </row>
    <row r="2" ht="12.75">
      <c r="A2" t="s">
        <v>1</v>
      </c>
    </row>
    <row r="3" spans="1:7" ht="12.75">
      <c r="A3" s="1" t="s">
        <v>34</v>
      </c>
      <c r="B3" s="2" t="s">
        <v>35</v>
      </c>
      <c r="C3" s="1" t="s">
        <v>77</v>
      </c>
      <c r="D3" s="1"/>
      <c r="E3" s="1" t="s">
        <v>36</v>
      </c>
      <c r="F3" s="3">
        <v>11</v>
      </c>
      <c r="G3" s="21">
        <v>2018</v>
      </c>
    </row>
    <row r="5" spans="1:5" ht="12.75">
      <c r="A5" t="s">
        <v>37</v>
      </c>
      <c r="D5" s="4">
        <v>3935.3</v>
      </c>
      <c r="E5" s="5" t="s">
        <v>74</v>
      </c>
    </row>
    <row r="6" spans="1:5" ht="12.75">
      <c r="A6" t="s">
        <v>38</v>
      </c>
      <c r="D6" s="4">
        <v>88</v>
      </c>
      <c r="E6" s="5"/>
    </row>
    <row r="7" spans="1:5" ht="12.75">
      <c r="A7" t="s">
        <v>39</v>
      </c>
      <c r="D7" s="4">
        <v>185</v>
      </c>
      <c r="E7" s="5" t="s">
        <v>40</v>
      </c>
    </row>
    <row r="8" spans="1:5" ht="12.75">
      <c r="A8" t="s">
        <v>41</v>
      </c>
      <c r="D8" s="4">
        <v>445.2</v>
      </c>
      <c r="E8" s="5" t="s">
        <v>74</v>
      </c>
    </row>
    <row r="9" spans="1:5" ht="12.75">
      <c r="A9" t="s">
        <v>42</v>
      </c>
      <c r="D9" s="4">
        <v>10482</v>
      </c>
      <c r="E9" s="5" t="s">
        <v>74</v>
      </c>
    </row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1020707.9999999999</v>
      </c>
      <c r="C13" s="8">
        <f>SUM(C14:C25)</f>
        <v>1004420.34</v>
      </c>
      <c r="D13" s="8">
        <f>SUM(D14:D25)</f>
        <v>16287.659999999989</v>
      </c>
    </row>
    <row r="14" spans="1:4" ht="12.75">
      <c r="A14" s="9" t="s">
        <v>59</v>
      </c>
      <c r="B14" s="13">
        <v>90196.78</v>
      </c>
      <c r="C14" s="8">
        <v>89321.51</v>
      </c>
      <c r="D14" s="8">
        <f aca="true" t="shared" si="0" ref="D14:D25">B14-C14</f>
        <v>875.2700000000041</v>
      </c>
    </row>
    <row r="15" spans="1:4" ht="12.75">
      <c r="A15" s="9" t="s">
        <v>47</v>
      </c>
      <c r="B15" s="13">
        <v>90196.78</v>
      </c>
      <c r="C15" s="13">
        <v>79292.66</v>
      </c>
      <c r="D15" s="8">
        <f t="shared" si="0"/>
        <v>10904.119999999995</v>
      </c>
    </row>
    <row r="16" spans="1:4" ht="12.75">
      <c r="A16" s="9" t="s">
        <v>48</v>
      </c>
      <c r="B16" s="13">
        <v>90196.78</v>
      </c>
      <c r="C16" s="13">
        <v>92047.51</v>
      </c>
      <c r="D16" s="8">
        <f t="shared" si="0"/>
        <v>-1850.729999999996</v>
      </c>
    </row>
    <row r="17" spans="1:4" ht="12.75">
      <c r="A17" s="9" t="s">
        <v>49</v>
      </c>
      <c r="B17" s="13">
        <v>90196.78</v>
      </c>
      <c r="C17" s="13">
        <v>91449.62</v>
      </c>
      <c r="D17" s="8">
        <f t="shared" si="0"/>
        <v>-1252.8399999999965</v>
      </c>
    </row>
    <row r="18" spans="1:4" ht="12.75">
      <c r="A18" s="9" t="s">
        <v>50</v>
      </c>
      <c r="B18" s="13">
        <v>90196.78</v>
      </c>
      <c r="C18" s="13">
        <v>89439.78</v>
      </c>
      <c r="D18" s="8">
        <f t="shared" si="0"/>
        <v>757</v>
      </c>
    </row>
    <row r="19" spans="1:4" ht="12.75">
      <c r="A19" s="9" t="s">
        <v>51</v>
      </c>
      <c r="B19" s="13">
        <v>90196.78</v>
      </c>
      <c r="C19" s="13">
        <v>86601.11</v>
      </c>
      <c r="D19" s="8">
        <f t="shared" si="0"/>
        <v>3595.6699999999983</v>
      </c>
    </row>
    <row r="20" spans="1:4" ht="12.75">
      <c r="A20" s="9" t="s">
        <v>52</v>
      </c>
      <c r="B20" s="8">
        <v>79921.22</v>
      </c>
      <c r="C20" s="13">
        <v>77683.16</v>
      </c>
      <c r="D20" s="8">
        <f t="shared" si="0"/>
        <v>2238.0599999999977</v>
      </c>
    </row>
    <row r="21" spans="1:4" ht="12.75">
      <c r="A21" s="9" t="s">
        <v>53</v>
      </c>
      <c r="B21" s="8">
        <v>79921.22</v>
      </c>
      <c r="C21" s="13">
        <v>74359.77</v>
      </c>
      <c r="D21" s="8">
        <f t="shared" si="0"/>
        <v>5561.449999999997</v>
      </c>
    </row>
    <row r="22" spans="1:4" ht="12.75">
      <c r="A22" s="9" t="s">
        <v>54</v>
      </c>
      <c r="B22" s="8">
        <v>79921.22</v>
      </c>
      <c r="C22" s="13">
        <v>81161.88</v>
      </c>
      <c r="D22" s="8">
        <f t="shared" si="0"/>
        <v>-1240.6600000000035</v>
      </c>
    </row>
    <row r="23" spans="1:4" ht="12.75">
      <c r="A23" s="9" t="s">
        <v>55</v>
      </c>
      <c r="B23" s="8">
        <v>79921.22</v>
      </c>
      <c r="C23" s="13">
        <v>92253.49</v>
      </c>
      <c r="D23" s="13">
        <f t="shared" si="0"/>
        <v>-12332.270000000004</v>
      </c>
    </row>
    <row r="24" spans="1:4" ht="12.75">
      <c r="A24" s="9" t="s">
        <v>56</v>
      </c>
      <c r="B24" s="8">
        <v>79921.22</v>
      </c>
      <c r="C24" s="13">
        <v>76549.52</v>
      </c>
      <c r="D24" s="13">
        <f t="shared" si="0"/>
        <v>3371.699999999997</v>
      </c>
    </row>
    <row r="25" spans="1:4" ht="12.75">
      <c r="A25" s="9" t="s">
        <v>57</v>
      </c>
      <c r="B25" s="8">
        <v>79921.22</v>
      </c>
      <c r="C25" s="13">
        <v>74260.33</v>
      </c>
      <c r="D25" s="13">
        <f t="shared" si="0"/>
        <v>5660.889999999999</v>
      </c>
    </row>
    <row r="26" spans="1:4" ht="12.75">
      <c r="A26" s="7" t="s">
        <v>58</v>
      </c>
      <c r="B26" s="8">
        <f>SUM(B27:B38)</f>
        <v>160.19999999999996</v>
      </c>
      <c r="C26" s="8">
        <f>SUM(C27:C38)</f>
        <v>160.08</v>
      </c>
      <c r="D26" s="8">
        <f>SUM(D27:D38)</f>
        <v>0.11999999999999211</v>
      </c>
    </row>
    <row r="27" spans="1:4" ht="12.75">
      <c r="A27" s="9" t="s">
        <v>59</v>
      </c>
      <c r="B27" s="8">
        <v>13.35</v>
      </c>
      <c r="C27" s="8">
        <v>13.31</v>
      </c>
      <c r="D27" s="8">
        <f aca="true" t="shared" si="1" ref="D27:D38">B27-C27</f>
        <v>0.03999999999999915</v>
      </c>
    </row>
    <row r="28" spans="1:4" ht="12.75">
      <c r="A28" s="9" t="s">
        <v>47</v>
      </c>
      <c r="B28" s="8">
        <v>13.35</v>
      </c>
      <c r="C28" s="8">
        <v>9.83</v>
      </c>
      <c r="D28" s="8">
        <f t="shared" si="1"/>
        <v>3.5199999999999996</v>
      </c>
    </row>
    <row r="29" spans="1:4" ht="12.75">
      <c r="A29" s="9" t="s">
        <v>48</v>
      </c>
      <c r="B29" s="8">
        <v>13.35</v>
      </c>
      <c r="C29" s="8">
        <v>16.91</v>
      </c>
      <c r="D29" s="8">
        <f t="shared" si="1"/>
        <v>-3.5600000000000005</v>
      </c>
    </row>
    <row r="30" spans="1:4" ht="12.75">
      <c r="A30" s="9" t="s">
        <v>49</v>
      </c>
      <c r="B30" s="8">
        <v>13.35</v>
      </c>
      <c r="C30" s="13">
        <v>16.85</v>
      </c>
      <c r="D30" s="8">
        <f t="shared" si="1"/>
        <v>-3.5000000000000018</v>
      </c>
    </row>
    <row r="31" spans="1:4" ht="12.75">
      <c r="A31" s="9" t="s">
        <v>50</v>
      </c>
      <c r="B31" s="8">
        <v>13.35</v>
      </c>
      <c r="C31" s="13">
        <v>9.86</v>
      </c>
      <c r="D31" s="8">
        <f t="shared" si="1"/>
        <v>3.49</v>
      </c>
    </row>
    <row r="32" spans="1:4" ht="12.75">
      <c r="A32" s="9" t="s">
        <v>51</v>
      </c>
      <c r="B32" s="8">
        <v>13.35</v>
      </c>
      <c r="C32" s="13">
        <v>13.33</v>
      </c>
      <c r="D32" s="8">
        <f t="shared" si="1"/>
        <v>0.019999999999999574</v>
      </c>
    </row>
    <row r="33" spans="1:4" ht="12.75">
      <c r="A33" s="9" t="s">
        <v>52</v>
      </c>
      <c r="B33" s="13">
        <v>13.35</v>
      </c>
      <c r="C33" s="13">
        <v>9.79</v>
      </c>
      <c r="D33" s="8">
        <f t="shared" si="1"/>
        <v>3.5600000000000005</v>
      </c>
    </row>
    <row r="34" spans="1:4" ht="12.75">
      <c r="A34" s="9" t="s">
        <v>53</v>
      </c>
      <c r="B34" s="13">
        <v>13.35</v>
      </c>
      <c r="C34" s="13">
        <v>9.83</v>
      </c>
      <c r="D34" s="8">
        <f t="shared" si="1"/>
        <v>3.5199999999999996</v>
      </c>
    </row>
    <row r="35" spans="1:4" ht="12.75">
      <c r="A35" s="9" t="s">
        <v>54</v>
      </c>
      <c r="B35" s="13">
        <v>13.35</v>
      </c>
      <c r="C35" s="13">
        <v>9.84</v>
      </c>
      <c r="D35" s="8">
        <f t="shared" si="1"/>
        <v>3.51</v>
      </c>
    </row>
    <row r="36" spans="1:4" ht="12.75">
      <c r="A36" s="9" t="s">
        <v>55</v>
      </c>
      <c r="B36" s="13">
        <v>13.35</v>
      </c>
      <c r="C36" s="13">
        <v>23.85</v>
      </c>
      <c r="D36" s="13">
        <f t="shared" si="1"/>
        <v>-10.500000000000002</v>
      </c>
    </row>
    <row r="37" spans="1:4" ht="12.75">
      <c r="A37" s="9" t="s">
        <v>56</v>
      </c>
      <c r="B37" s="13">
        <v>13.35</v>
      </c>
      <c r="C37" s="13">
        <v>13.3</v>
      </c>
      <c r="D37" s="13">
        <f t="shared" si="1"/>
        <v>0.049999999999998934</v>
      </c>
    </row>
    <row r="38" spans="1:4" ht="12.75">
      <c r="A38" s="9" t="s">
        <v>57</v>
      </c>
      <c r="B38" s="13">
        <v>13.35</v>
      </c>
      <c r="C38" s="13">
        <v>13.38</v>
      </c>
      <c r="D38" s="13">
        <f t="shared" si="1"/>
        <v>-0.030000000000001137</v>
      </c>
    </row>
    <row r="39" spans="1:4" ht="12.75">
      <c r="A39" s="9" t="s">
        <v>60</v>
      </c>
      <c r="B39" s="8">
        <f>B13+B26</f>
        <v>1020868.1999999998</v>
      </c>
      <c r="C39" s="8">
        <f>C13+C26</f>
        <v>1004580.4199999999</v>
      </c>
      <c r="D39" s="8">
        <f>D13+D26</f>
        <v>16287.77999999999</v>
      </c>
    </row>
    <row r="41" spans="1:4" ht="12.75">
      <c r="A41" t="s">
        <v>61</v>
      </c>
      <c r="D41" s="12">
        <f>D39</f>
        <v>16287.77999999999</v>
      </c>
    </row>
    <row r="43" spans="1:4" ht="13.5" customHeight="1">
      <c r="A43" s="11" t="s">
        <v>62</v>
      </c>
      <c r="D43" s="12">
        <f>D44+D45</f>
        <v>74141.05200000001</v>
      </c>
    </row>
    <row r="44" spans="1:4" ht="12.75">
      <c r="A44" s="11" t="s">
        <v>63</v>
      </c>
      <c r="D44" s="12">
        <f>(1.33*12*D5)</f>
        <v>62807.388000000006</v>
      </c>
    </row>
    <row r="45" spans="1:4" ht="12.75">
      <c r="A45" s="11" t="s">
        <v>64</v>
      </c>
      <c r="D45" s="12">
        <f>(0.24*12*D5)</f>
        <v>11333.664</v>
      </c>
    </row>
    <row r="46" spans="1:4" ht="12.75">
      <c r="A46" s="11" t="s">
        <v>65</v>
      </c>
      <c r="D46" s="12">
        <v>0</v>
      </c>
    </row>
    <row r="47" spans="1:4" ht="12.75">
      <c r="A47" s="11" t="s">
        <v>109</v>
      </c>
      <c r="D47" s="12">
        <f>1565*0.22*4+(1565*2.5)</f>
        <v>5289.7</v>
      </c>
    </row>
    <row r="48" spans="1:4" ht="12.75">
      <c r="A48" s="11" t="s">
        <v>121</v>
      </c>
      <c r="D48" s="12">
        <f>(2.66*12*D5)</f>
        <v>125614.77600000001</v>
      </c>
    </row>
    <row r="49" spans="1:4" ht="12.75">
      <c r="A49" s="11" t="s">
        <v>66</v>
      </c>
      <c r="D49" s="12">
        <v>0</v>
      </c>
    </row>
    <row r="50" spans="1:4" ht="12.75">
      <c r="A50" s="11" t="s">
        <v>108</v>
      </c>
      <c r="D50" s="12">
        <f>(0.72*3*D5)</f>
        <v>8500.248000000001</v>
      </c>
    </row>
    <row r="51" spans="1:4" ht="12.75">
      <c r="A51" s="11" t="s">
        <v>67</v>
      </c>
      <c r="D51" s="12">
        <f>(1.45*12*D5)</f>
        <v>68474.22</v>
      </c>
    </row>
    <row r="52" spans="1:4" ht="12.75">
      <c r="A52" s="11" t="s">
        <v>68</v>
      </c>
      <c r="D52" s="12">
        <f>(5.83*12*D5)</f>
        <v>275313.58800000005</v>
      </c>
    </row>
    <row r="53" spans="1:4" ht="12.75">
      <c r="A53" s="11" t="s">
        <v>69</v>
      </c>
      <c r="D53" s="12">
        <f>(0.29*12*D5)</f>
        <v>13694.844</v>
      </c>
    </row>
    <row r="54" spans="1:4" ht="12.75">
      <c r="A54" s="11" t="s">
        <v>110</v>
      </c>
      <c r="D54" s="12">
        <f>(3.87*12*D5)</f>
        <v>182755.332</v>
      </c>
    </row>
    <row r="55" spans="1:4" ht="12.75">
      <c r="A55" s="11" t="s">
        <v>70</v>
      </c>
      <c r="D55" s="12">
        <f>2.25*12*D6</f>
        <v>2376</v>
      </c>
    </row>
    <row r="56" spans="1:4" ht="12.75">
      <c r="A56" s="11" t="s">
        <v>71</v>
      </c>
      <c r="D56" s="12">
        <v>119811.3</v>
      </c>
    </row>
    <row r="57" spans="1:4" ht="12.75">
      <c r="A57" s="11" t="s">
        <v>72</v>
      </c>
      <c r="D57" s="12">
        <f>(0.91*12*D5)</f>
        <v>42973.476</v>
      </c>
    </row>
    <row r="58" spans="1:4" ht="12.75" hidden="1">
      <c r="A58" s="14" t="s">
        <v>96</v>
      </c>
      <c r="D58" s="12">
        <v>0</v>
      </c>
    </row>
    <row r="59" spans="1:4" ht="12.75">
      <c r="A59" s="11"/>
      <c r="D59" s="12"/>
    </row>
    <row r="60" spans="1:4" ht="12.75">
      <c r="A60" s="11" t="s">
        <v>73</v>
      </c>
      <c r="D60" s="12">
        <f>D43+D46+D47+D48+D49+D50+D51+D52+D53+D54+D55+D56+D57</f>
        <v>918944.5360000001</v>
      </c>
    </row>
    <row r="61" spans="1:4" ht="12.75">
      <c r="A61" s="11"/>
      <c r="D61" s="12"/>
    </row>
    <row r="62" spans="1:4" ht="12.75">
      <c r="A62" t="s">
        <v>99</v>
      </c>
      <c r="D62" s="12">
        <f>C39-D60</f>
        <v>85635.88399999985</v>
      </c>
    </row>
    <row r="64" spans="1:2" ht="12.75" hidden="1">
      <c r="A64">
        <v>690</v>
      </c>
      <c r="B64" t="s">
        <v>27</v>
      </c>
    </row>
    <row r="65" spans="1:2" ht="12.75" hidden="1">
      <c r="A65">
        <v>504</v>
      </c>
      <c r="B65" t="s">
        <v>164</v>
      </c>
    </row>
    <row r="66" spans="1:2" ht="12.75" hidden="1">
      <c r="A66">
        <v>2650</v>
      </c>
      <c r="B66" t="s">
        <v>124</v>
      </c>
    </row>
    <row r="67" spans="1:2" ht="12.75" hidden="1">
      <c r="A67">
        <v>2362</v>
      </c>
      <c r="B67" t="s">
        <v>127</v>
      </c>
    </row>
    <row r="68" spans="1:2" ht="12.75" hidden="1">
      <c r="A68">
        <v>2100</v>
      </c>
      <c r="B68" t="s">
        <v>21</v>
      </c>
    </row>
    <row r="69" spans="1:2" ht="12.75" hidden="1">
      <c r="A69">
        <v>1402</v>
      </c>
      <c r="B69" t="s">
        <v>27</v>
      </c>
    </row>
    <row r="70" spans="1:2" ht="12.75" hidden="1">
      <c r="A70">
        <v>5301</v>
      </c>
      <c r="B70" t="s">
        <v>143</v>
      </c>
    </row>
    <row r="71" spans="1:2" ht="12.75" hidden="1">
      <c r="A71">
        <v>10588</v>
      </c>
      <c r="B71" t="s">
        <v>138</v>
      </c>
    </row>
    <row r="72" spans="1:2" ht="12.75" hidden="1">
      <c r="A72">
        <v>717.33</v>
      </c>
      <c r="B72" t="s">
        <v>24</v>
      </c>
    </row>
    <row r="73" spans="1:2" ht="12.75" hidden="1">
      <c r="A73">
        <v>3353</v>
      </c>
      <c r="B73" t="s">
        <v>127</v>
      </c>
    </row>
    <row r="74" spans="1:2" ht="12.75" hidden="1">
      <c r="A74">
        <v>3875</v>
      </c>
      <c r="B74" t="s">
        <v>29</v>
      </c>
    </row>
    <row r="75" spans="1:2" ht="12.75" hidden="1">
      <c r="A75">
        <v>79410</v>
      </c>
      <c r="B75" t="s">
        <v>111</v>
      </c>
    </row>
    <row r="76" spans="1:2" ht="12.75" hidden="1">
      <c r="A76">
        <v>966.33</v>
      </c>
      <c r="B76" t="s">
        <v>24</v>
      </c>
    </row>
    <row r="77" spans="1:2" ht="12.75" hidden="1">
      <c r="A77">
        <v>4844</v>
      </c>
      <c r="B77" t="s">
        <v>28</v>
      </c>
    </row>
    <row r="78" spans="1:2" ht="12.75" hidden="1">
      <c r="A78">
        <v>1048.67</v>
      </c>
      <c r="B78" t="s">
        <v>112</v>
      </c>
    </row>
    <row r="79" ht="12.75" hidden="1">
      <c r="A79">
        <f>SUM(A64:A78)</f>
        <v>119811.33</v>
      </c>
    </row>
    <row r="80" ht="12.75" hidden="1"/>
    <row r="81" ht="12.75" hidden="1"/>
    <row r="82" ht="12.75" hidden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G70"/>
  <sheetViews>
    <sheetView workbookViewId="0" topLeftCell="A49">
      <selection activeCell="A64" sqref="A64:IV71"/>
    </sheetView>
  </sheetViews>
  <sheetFormatPr defaultColWidth="9.140625" defaultRowHeight="12.75"/>
  <cols>
    <col min="1" max="1" width="14.00390625" style="0" customWidth="1"/>
    <col min="2" max="2" width="14.57421875" style="0" customWidth="1"/>
    <col min="3" max="3" width="15.140625" style="0" customWidth="1"/>
    <col min="4" max="4" width="12.28125" style="0" bestFit="1" customWidth="1"/>
    <col min="8" max="8" width="15.140625" style="0" customWidth="1"/>
    <col min="9" max="9" width="15.57421875" style="0" customWidth="1"/>
    <col min="10" max="10" width="14.421875" style="0" customWidth="1"/>
    <col min="11" max="11" width="16.8515625" style="0" customWidth="1"/>
    <col min="16" max="16" width="15.140625" style="0" customWidth="1"/>
    <col min="17" max="17" width="15.57421875" style="0" customWidth="1"/>
    <col min="18" max="18" width="14.421875" style="0" customWidth="1"/>
    <col min="19" max="19" width="16.8515625" style="0" customWidth="1"/>
  </cols>
  <sheetData>
    <row r="1" ht="12.75">
      <c r="A1" t="s">
        <v>2</v>
      </c>
    </row>
    <row r="2" ht="12.75">
      <c r="A2" t="s">
        <v>205</v>
      </c>
    </row>
    <row r="3" spans="1:7" ht="12.75">
      <c r="A3" s="1" t="s">
        <v>34</v>
      </c>
      <c r="B3" s="2" t="s">
        <v>35</v>
      </c>
      <c r="C3" s="1" t="s">
        <v>81</v>
      </c>
      <c r="D3" s="1"/>
      <c r="E3" s="1" t="s">
        <v>36</v>
      </c>
      <c r="F3" s="3">
        <v>9</v>
      </c>
      <c r="G3" s="21">
        <v>2018</v>
      </c>
    </row>
    <row r="5" spans="1:5" ht="12.75">
      <c r="A5" t="s">
        <v>37</v>
      </c>
      <c r="D5" s="4">
        <v>2109.1</v>
      </c>
      <c r="E5" s="4" t="s">
        <v>74</v>
      </c>
    </row>
    <row r="6" spans="1:5" ht="12.75">
      <c r="A6" t="s">
        <v>38</v>
      </c>
      <c r="D6" s="4">
        <v>39</v>
      </c>
      <c r="E6" s="4"/>
    </row>
    <row r="7" spans="1:5" ht="12.75">
      <c r="A7" t="s">
        <v>39</v>
      </c>
      <c r="D7" s="4">
        <v>105</v>
      </c>
      <c r="E7" s="4" t="s">
        <v>40</v>
      </c>
    </row>
    <row r="8" spans="1:5" ht="12.75">
      <c r="A8" t="s">
        <v>41</v>
      </c>
      <c r="D8" s="4">
        <v>255</v>
      </c>
      <c r="E8" s="4" t="s">
        <v>74</v>
      </c>
    </row>
    <row r="9" spans="1:5" ht="12.75">
      <c r="A9" t="s">
        <v>42</v>
      </c>
      <c r="D9" s="4">
        <v>4332</v>
      </c>
      <c r="E9" s="4" t="s">
        <v>74</v>
      </c>
    </row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512550.21</v>
      </c>
      <c r="C13" s="8">
        <f>SUM(C14:C25)</f>
        <v>502687.36</v>
      </c>
      <c r="D13" s="8">
        <f>SUM(D14:D25)</f>
        <v>9862.849999999991</v>
      </c>
    </row>
    <row r="14" spans="1:4" ht="12.75">
      <c r="A14" s="9" t="s">
        <v>59</v>
      </c>
      <c r="B14" s="8">
        <v>45040.24</v>
      </c>
      <c r="C14" s="8">
        <v>50034.45</v>
      </c>
      <c r="D14" s="8">
        <f aca="true" t="shared" si="0" ref="D14:D25">B14-C14</f>
        <v>-4994.209999999999</v>
      </c>
    </row>
    <row r="15" spans="1:4" ht="12.75">
      <c r="A15" s="9" t="s">
        <v>47</v>
      </c>
      <c r="B15" s="8">
        <v>43845.13</v>
      </c>
      <c r="C15" s="13">
        <v>40858.6</v>
      </c>
      <c r="D15" s="8">
        <f t="shared" si="0"/>
        <v>2986.529999999999</v>
      </c>
    </row>
    <row r="16" spans="1:4" ht="12.75">
      <c r="A16" s="9" t="s">
        <v>48</v>
      </c>
      <c r="B16" s="8">
        <v>45038.35</v>
      </c>
      <c r="C16" s="13">
        <v>51152.41</v>
      </c>
      <c r="D16" s="8">
        <f t="shared" si="0"/>
        <v>-6114.060000000005</v>
      </c>
    </row>
    <row r="17" spans="1:4" ht="12.75">
      <c r="A17" s="9" t="s">
        <v>49</v>
      </c>
      <c r="B17" s="8">
        <v>45038.35</v>
      </c>
      <c r="C17" s="13">
        <v>38396.7</v>
      </c>
      <c r="D17" s="8">
        <f t="shared" si="0"/>
        <v>6641.6500000000015</v>
      </c>
    </row>
    <row r="18" spans="1:4" ht="12.75">
      <c r="A18" s="9" t="s">
        <v>50</v>
      </c>
      <c r="B18" s="8">
        <v>45038.35</v>
      </c>
      <c r="C18" s="13">
        <v>46441.63</v>
      </c>
      <c r="D18" s="8">
        <f t="shared" si="0"/>
        <v>-1403.2799999999988</v>
      </c>
    </row>
    <row r="19" spans="1:4" ht="12.75">
      <c r="A19" s="9" t="s">
        <v>51</v>
      </c>
      <c r="B19" s="8">
        <v>43038.35</v>
      </c>
      <c r="C19" s="13">
        <v>43175.01</v>
      </c>
      <c r="D19" s="8">
        <f t="shared" si="0"/>
        <v>-136.6600000000035</v>
      </c>
    </row>
    <row r="20" spans="1:4" ht="12.75">
      <c r="A20" s="9" t="s">
        <v>52</v>
      </c>
      <c r="B20" s="8">
        <v>39663.39</v>
      </c>
      <c r="C20" s="13">
        <v>35592.53</v>
      </c>
      <c r="D20" s="8">
        <f t="shared" si="0"/>
        <v>4070.8600000000006</v>
      </c>
    </row>
    <row r="21" spans="1:4" ht="12.75">
      <c r="A21" s="9" t="s">
        <v>53</v>
      </c>
      <c r="B21" s="8">
        <v>39663.69</v>
      </c>
      <c r="C21" s="13">
        <v>34802.43</v>
      </c>
      <c r="D21" s="8">
        <f t="shared" si="0"/>
        <v>4861.260000000002</v>
      </c>
    </row>
    <row r="22" spans="1:4" ht="12.75">
      <c r="A22" s="9" t="s">
        <v>54</v>
      </c>
      <c r="B22" s="8">
        <v>39663.69</v>
      </c>
      <c r="C22" s="13">
        <v>35366.05</v>
      </c>
      <c r="D22" s="8">
        <f t="shared" si="0"/>
        <v>4297.639999999999</v>
      </c>
    </row>
    <row r="23" spans="1:4" ht="12.75">
      <c r="A23" s="9" t="s">
        <v>55</v>
      </c>
      <c r="B23" s="8">
        <v>39663.69</v>
      </c>
      <c r="C23" s="13">
        <v>39888.82</v>
      </c>
      <c r="D23" s="13">
        <f t="shared" si="0"/>
        <v>-225.12999999999738</v>
      </c>
    </row>
    <row r="24" spans="1:4" ht="12.75">
      <c r="A24" s="9" t="s">
        <v>56</v>
      </c>
      <c r="B24" s="8">
        <v>43428.49</v>
      </c>
      <c r="C24" s="13">
        <v>42180.47</v>
      </c>
      <c r="D24" s="13">
        <f t="shared" si="0"/>
        <v>1248.0199999999968</v>
      </c>
    </row>
    <row r="25" spans="1:4" ht="12.75">
      <c r="A25" s="9" t="s">
        <v>57</v>
      </c>
      <c r="B25" s="8">
        <v>43428.49</v>
      </c>
      <c r="C25" s="13">
        <v>44798.26</v>
      </c>
      <c r="D25" s="13">
        <f t="shared" si="0"/>
        <v>-1369.770000000004</v>
      </c>
    </row>
    <row r="26" spans="1:4" ht="12.75">
      <c r="A26" s="7" t="s">
        <v>58</v>
      </c>
      <c r="B26" s="8" t="e">
        <f>SUM(B27:B38)+#REF!</f>
        <v>#REF!</v>
      </c>
      <c r="C26" s="8" t="e">
        <f>SUM(C27:C38)+#REF!</f>
        <v>#REF!</v>
      </c>
      <c r="D26" s="8" t="e">
        <f>SUM(D27:D38)+#REF!</f>
        <v>#REF!</v>
      </c>
    </row>
    <row r="27" spans="1:4" ht="12.75">
      <c r="A27" s="9" t="s">
        <v>59</v>
      </c>
      <c r="B27" s="8">
        <v>2.39</v>
      </c>
      <c r="C27" s="8">
        <v>2.39</v>
      </c>
      <c r="D27" s="8">
        <f aca="true" t="shared" si="1" ref="D27:D38">B27-C27</f>
        <v>0</v>
      </c>
    </row>
    <row r="28" spans="1:4" ht="12.75">
      <c r="A28" s="9" t="s">
        <v>47</v>
      </c>
      <c r="B28" s="8">
        <v>2.39</v>
      </c>
      <c r="C28" s="8">
        <v>2.39</v>
      </c>
      <c r="D28" s="8">
        <f t="shared" si="1"/>
        <v>0</v>
      </c>
    </row>
    <row r="29" spans="1:4" ht="12.75">
      <c r="A29" s="9" t="s">
        <v>48</v>
      </c>
      <c r="B29" s="8">
        <v>2.39</v>
      </c>
      <c r="C29" s="8">
        <v>2.39</v>
      </c>
      <c r="D29" s="8">
        <f t="shared" si="1"/>
        <v>0</v>
      </c>
    </row>
    <row r="30" spans="1:4" ht="12.75">
      <c r="A30" s="9" t="s">
        <v>49</v>
      </c>
      <c r="B30" s="8">
        <v>2.39</v>
      </c>
      <c r="C30" s="8">
        <v>2.39</v>
      </c>
      <c r="D30" s="8">
        <f t="shared" si="1"/>
        <v>0</v>
      </c>
    </row>
    <row r="31" spans="1:4" ht="12.75">
      <c r="A31" s="9" t="s">
        <v>50</v>
      </c>
      <c r="B31" s="8">
        <v>2.39</v>
      </c>
      <c r="C31" s="8">
        <v>2.39</v>
      </c>
      <c r="D31" s="8">
        <f t="shared" si="1"/>
        <v>0</v>
      </c>
    </row>
    <row r="32" spans="1:4" ht="12.75">
      <c r="A32" s="9" t="s">
        <v>51</v>
      </c>
      <c r="B32" s="8">
        <v>2.39</v>
      </c>
      <c r="C32" s="8">
        <v>2.39</v>
      </c>
      <c r="D32" s="8">
        <f t="shared" si="1"/>
        <v>0</v>
      </c>
    </row>
    <row r="33" spans="1:4" ht="12.75">
      <c r="A33" s="9" t="s">
        <v>52</v>
      </c>
      <c r="B33" s="8">
        <v>2.39</v>
      </c>
      <c r="C33" s="8">
        <v>2.39</v>
      </c>
      <c r="D33" s="8">
        <f t="shared" si="1"/>
        <v>0</v>
      </c>
    </row>
    <row r="34" spans="1:4" ht="12.75">
      <c r="A34" s="9" t="s">
        <v>53</v>
      </c>
      <c r="B34" s="8">
        <v>2.39</v>
      </c>
      <c r="C34" s="8">
        <v>2.39</v>
      </c>
      <c r="D34" s="8">
        <f t="shared" si="1"/>
        <v>0</v>
      </c>
    </row>
    <row r="35" spans="1:4" ht="12.75">
      <c r="A35" s="9" t="s">
        <v>54</v>
      </c>
      <c r="B35" s="8">
        <v>2.39</v>
      </c>
      <c r="C35" s="8">
        <v>2.39</v>
      </c>
      <c r="D35" s="8">
        <f t="shared" si="1"/>
        <v>0</v>
      </c>
    </row>
    <row r="36" spans="1:4" ht="12.75">
      <c r="A36" s="9" t="s">
        <v>55</v>
      </c>
      <c r="B36" s="8">
        <v>2.39</v>
      </c>
      <c r="C36" s="8">
        <v>2.39</v>
      </c>
      <c r="D36" s="13">
        <f t="shared" si="1"/>
        <v>0</v>
      </c>
    </row>
    <row r="37" spans="1:4" ht="12.75">
      <c r="A37" s="9" t="s">
        <v>56</v>
      </c>
      <c r="B37" s="8">
        <v>2.39</v>
      </c>
      <c r="C37" s="8">
        <v>2.39</v>
      </c>
      <c r="D37" s="13">
        <f t="shared" si="1"/>
        <v>0</v>
      </c>
    </row>
    <row r="38" spans="1:4" ht="12.75">
      <c r="A38" s="9" t="s">
        <v>57</v>
      </c>
      <c r="B38" s="8">
        <v>2.39</v>
      </c>
      <c r="C38" s="8">
        <v>2.39</v>
      </c>
      <c r="D38" s="13">
        <f t="shared" si="1"/>
        <v>0</v>
      </c>
    </row>
    <row r="39" spans="1:4" ht="12.75">
      <c r="A39" s="9" t="s">
        <v>60</v>
      </c>
      <c r="B39" s="8" t="e">
        <f>B13+B26</f>
        <v>#REF!</v>
      </c>
      <c r="C39" s="8" t="e">
        <f>C13+C26</f>
        <v>#REF!</v>
      </c>
      <c r="D39" s="8" t="e">
        <f>D13+D26</f>
        <v>#REF!</v>
      </c>
    </row>
    <row r="41" spans="1:4" ht="12.75">
      <c r="A41" t="s">
        <v>61</v>
      </c>
      <c r="D41" s="12" t="e">
        <f>D39</f>
        <v>#REF!</v>
      </c>
    </row>
    <row r="43" spans="1:4" ht="12.75">
      <c r="A43" s="11" t="s">
        <v>62</v>
      </c>
      <c r="D43" s="12">
        <f>D44+D45</f>
        <v>40283.81</v>
      </c>
    </row>
    <row r="44" spans="1:4" ht="12.75">
      <c r="A44" s="11" t="s">
        <v>63</v>
      </c>
      <c r="D44" s="12">
        <f>(1.33*10*D5)+(1.46*2*D5)</f>
        <v>34209.602</v>
      </c>
    </row>
    <row r="45" spans="1:4" ht="12.75">
      <c r="A45" s="11" t="s">
        <v>64</v>
      </c>
      <c r="D45" s="12">
        <f>(0.24*12*D5)</f>
        <v>6074.208</v>
      </c>
    </row>
    <row r="46" spans="1:4" ht="12.75">
      <c r="A46" s="11" t="s">
        <v>65</v>
      </c>
      <c r="D46" s="12">
        <v>0</v>
      </c>
    </row>
    <row r="47" spans="1:4" ht="12.75">
      <c r="A47" s="11" t="s">
        <v>109</v>
      </c>
      <c r="D47" s="12">
        <f>(628.7*0.22*4)+(628.7*2.5)</f>
        <v>2125.0060000000003</v>
      </c>
    </row>
    <row r="48" spans="1:4" ht="12.75">
      <c r="A48" s="11" t="s">
        <v>121</v>
      </c>
      <c r="D48" s="12">
        <f>(2.66*6*D5)</f>
        <v>33661.236</v>
      </c>
    </row>
    <row r="49" spans="1:4" ht="12.75">
      <c r="A49" s="11" t="s">
        <v>66</v>
      </c>
      <c r="D49" s="12">
        <v>0</v>
      </c>
    </row>
    <row r="50" spans="1:4" ht="12.75">
      <c r="A50" s="11" t="s">
        <v>108</v>
      </c>
      <c r="D50" s="12">
        <f>(0.72*3*D5)</f>
        <v>4555.656</v>
      </c>
    </row>
    <row r="51" spans="1:4" ht="12.75">
      <c r="A51" s="11" t="s">
        <v>67</v>
      </c>
      <c r="D51" s="12">
        <f>(1.45*10*D5)+(1.6*2*D5)</f>
        <v>37331.07</v>
      </c>
    </row>
    <row r="52" spans="1:4" ht="12.75">
      <c r="A52" s="11" t="s">
        <v>68</v>
      </c>
      <c r="D52" s="12">
        <f>(5.11*10*D5)+(5.69*12*D5)</f>
        <v>251784.358</v>
      </c>
    </row>
    <row r="53" spans="1:4" ht="12.75">
      <c r="A53" s="11" t="s">
        <v>69</v>
      </c>
      <c r="D53" s="12">
        <f>(0.65*10*D5)+(0.72*2*D5)</f>
        <v>16746.254</v>
      </c>
    </row>
    <row r="54" spans="1:4" ht="12.75">
      <c r="A54" s="11" t="s">
        <v>110</v>
      </c>
      <c r="D54" s="12">
        <f>(3.87*10*D5)+(4.25*2*D5)</f>
        <v>99549.51999999999</v>
      </c>
    </row>
    <row r="55" spans="1:4" ht="12.75">
      <c r="A55" s="11" t="s">
        <v>70</v>
      </c>
      <c r="D55" s="12">
        <f>2.25*12*D6</f>
        <v>1053</v>
      </c>
    </row>
    <row r="56" spans="1:4" ht="12.75">
      <c r="A56" s="11" t="s">
        <v>71</v>
      </c>
      <c r="D56" s="12">
        <v>100227</v>
      </c>
    </row>
    <row r="57" spans="1:4" ht="12.75">
      <c r="A57" s="11" t="s">
        <v>72</v>
      </c>
      <c r="D57" s="12">
        <f>(0.69*10*D5)+(2.02*2*D5)</f>
        <v>23073.553999999996</v>
      </c>
    </row>
    <row r="58" spans="1:4" ht="12.75">
      <c r="A58" s="14" t="s">
        <v>96</v>
      </c>
      <c r="D58" s="12">
        <v>0</v>
      </c>
    </row>
    <row r="59" spans="1:4" ht="12.75">
      <c r="A59" s="11"/>
      <c r="D59" s="12"/>
    </row>
    <row r="60" spans="1:4" ht="12.75">
      <c r="A60" s="11" t="s">
        <v>73</v>
      </c>
      <c r="D60" s="12">
        <f>D43+D46+D47+D48+D49+D50+D51+D52+D53+D54+D55+D56+D57+D58</f>
        <v>610390.464</v>
      </c>
    </row>
    <row r="61" spans="1:4" ht="12.75">
      <c r="A61" s="11"/>
      <c r="D61" s="12"/>
    </row>
    <row r="62" spans="1:4" ht="12.75">
      <c r="A62" t="s">
        <v>99</v>
      </c>
      <c r="D62" s="12" t="e">
        <f>C39-D60</f>
        <v>#REF!</v>
      </c>
    </row>
    <row r="64" spans="1:2" ht="12.75" hidden="1">
      <c r="A64">
        <v>1372</v>
      </c>
      <c r="B64" t="s">
        <v>27</v>
      </c>
    </row>
    <row r="65" spans="1:2" ht="12.75" hidden="1">
      <c r="A65">
        <v>408</v>
      </c>
      <c r="B65" t="s">
        <v>202</v>
      </c>
    </row>
    <row r="66" spans="1:2" ht="12.75" hidden="1">
      <c r="A66">
        <v>28557</v>
      </c>
      <c r="B66" t="s">
        <v>127</v>
      </c>
    </row>
    <row r="67" spans="1:2" ht="12.75" hidden="1">
      <c r="A67">
        <v>16976</v>
      </c>
      <c r="B67" t="s">
        <v>173</v>
      </c>
    </row>
    <row r="68" spans="1:2" ht="12.75" hidden="1">
      <c r="A68">
        <v>467</v>
      </c>
      <c r="B68" t="s">
        <v>148</v>
      </c>
    </row>
    <row r="69" spans="1:2" ht="12.75" hidden="1">
      <c r="A69">
        <v>52447</v>
      </c>
      <c r="B69" t="s">
        <v>30</v>
      </c>
    </row>
    <row r="70" ht="12.75" hidden="1">
      <c r="A70">
        <f>SUM(A64:A69)</f>
        <v>100227</v>
      </c>
    </row>
    <row r="71" ht="12.75" hidden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G106"/>
  <sheetViews>
    <sheetView zoomScalePageLayoutView="0" workbookViewId="0" topLeftCell="A76">
      <selection activeCell="A82" sqref="A82:IV107"/>
    </sheetView>
  </sheetViews>
  <sheetFormatPr defaultColWidth="9.140625" defaultRowHeight="12.75"/>
  <cols>
    <col min="2" max="2" width="14.140625" style="0" bestFit="1" customWidth="1"/>
    <col min="3" max="3" width="15.00390625" style="0" bestFit="1" customWidth="1"/>
    <col min="4" max="4" width="14.00390625" style="0" bestFit="1" customWidth="1"/>
  </cols>
  <sheetData>
    <row r="1" ht="12.75">
      <c r="A1" t="s">
        <v>3</v>
      </c>
    </row>
    <row r="2" ht="12.75">
      <c r="A2" t="s">
        <v>4</v>
      </c>
    </row>
    <row r="3" spans="1:7" ht="12.75">
      <c r="A3" s="1" t="s">
        <v>34</v>
      </c>
      <c r="B3" s="2" t="s">
        <v>35</v>
      </c>
      <c r="C3" s="1" t="s">
        <v>93</v>
      </c>
      <c r="D3" s="1"/>
      <c r="E3" s="1" t="s">
        <v>36</v>
      </c>
      <c r="F3" s="3">
        <v>6</v>
      </c>
      <c r="G3" s="21">
        <v>2018</v>
      </c>
    </row>
    <row r="5" spans="1:5" ht="12.75">
      <c r="A5" t="s">
        <v>37</v>
      </c>
      <c r="D5" s="4">
        <v>6097.6</v>
      </c>
      <c r="E5" s="5" t="s">
        <v>74</v>
      </c>
    </row>
    <row r="6" spans="1:5" ht="12.75">
      <c r="A6" t="s">
        <v>38</v>
      </c>
      <c r="D6" s="4">
        <v>110</v>
      </c>
      <c r="E6" s="5"/>
    </row>
    <row r="7" spans="1:5" ht="12.75">
      <c r="A7" t="s">
        <v>39</v>
      </c>
      <c r="D7" s="4">
        <v>262</v>
      </c>
      <c r="E7" s="5" t="s">
        <v>40</v>
      </c>
    </row>
    <row r="8" spans="1:5" ht="12.75">
      <c r="A8" t="s">
        <v>41</v>
      </c>
      <c r="D8" s="4">
        <v>1069.7</v>
      </c>
      <c r="E8" s="5" t="s">
        <v>74</v>
      </c>
    </row>
    <row r="9" spans="1:5" ht="12.75">
      <c r="A9" t="s">
        <v>42</v>
      </c>
      <c r="D9" s="4">
        <v>3926</v>
      </c>
      <c r="E9" s="5" t="s">
        <v>74</v>
      </c>
    </row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1886558.76</v>
      </c>
      <c r="C13" s="8">
        <f>SUM(C14:C25)</f>
        <v>1868531.08</v>
      </c>
      <c r="D13" s="8">
        <f>SUM(D14:D25)</f>
        <v>18027.67999999998</v>
      </c>
    </row>
    <row r="14" spans="1:4" ht="12.75">
      <c r="A14" s="9" t="s">
        <v>59</v>
      </c>
      <c r="B14" s="8">
        <v>164881.18</v>
      </c>
      <c r="C14" s="8">
        <v>136618.61</v>
      </c>
      <c r="D14" s="8">
        <f>B14-C14</f>
        <v>28262.570000000007</v>
      </c>
    </row>
    <row r="15" spans="1:4" ht="12.75">
      <c r="A15" s="9" t="s">
        <v>47</v>
      </c>
      <c r="B15" s="8">
        <v>164881.18</v>
      </c>
      <c r="C15" s="13">
        <v>166260.74</v>
      </c>
      <c r="D15" s="8">
        <f>B15-C15</f>
        <v>-1379.5599999999977</v>
      </c>
    </row>
    <row r="16" spans="1:4" ht="12.75">
      <c r="A16" s="9" t="s">
        <v>48</v>
      </c>
      <c r="B16" s="8">
        <v>164881.18</v>
      </c>
      <c r="C16" s="13">
        <v>144888.52</v>
      </c>
      <c r="D16" s="8">
        <f>B16-C16</f>
        <v>19992.660000000003</v>
      </c>
    </row>
    <row r="17" spans="1:4" ht="12.75">
      <c r="A17" s="9" t="s">
        <v>49</v>
      </c>
      <c r="B17" s="8">
        <v>164881.18</v>
      </c>
      <c r="C17" s="13">
        <v>168451.86</v>
      </c>
      <c r="D17" s="8">
        <f aca="true" t="shared" si="0" ref="D17:D25">B17-C17</f>
        <v>-3570.679999999993</v>
      </c>
    </row>
    <row r="18" spans="1:4" ht="12.75">
      <c r="A18" s="9" t="s">
        <v>50</v>
      </c>
      <c r="B18" s="8">
        <v>164881.18</v>
      </c>
      <c r="C18" s="13">
        <v>133008.41</v>
      </c>
      <c r="D18" s="8">
        <f t="shared" si="0"/>
        <v>31872.76999999999</v>
      </c>
    </row>
    <row r="19" spans="1:4" ht="12.75">
      <c r="A19" s="9" t="s">
        <v>51</v>
      </c>
      <c r="B19" s="8">
        <v>164881.18</v>
      </c>
      <c r="C19" s="13">
        <v>158424.54</v>
      </c>
      <c r="D19" s="8">
        <f t="shared" si="0"/>
        <v>6456.639999999985</v>
      </c>
    </row>
    <row r="20" spans="1:4" ht="12.75">
      <c r="A20" s="9" t="s">
        <v>52</v>
      </c>
      <c r="B20" s="8">
        <v>149545.28</v>
      </c>
      <c r="C20" s="13">
        <v>144625.09</v>
      </c>
      <c r="D20" s="8">
        <f t="shared" si="0"/>
        <v>4920.190000000002</v>
      </c>
    </row>
    <row r="21" spans="1:4" ht="12.75">
      <c r="A21" s="9" t="s">
        <v>53</v>
      </c>
      <c r="B21" s="8">
        <v>149545.28</v>
      </c>
      <c r="C21" s="13">
        <v>164030.69</v>
      </c>
      <c r="D21" s="8">
        <f t="shared" si="0"/>
        <v>-14485.410000000003</v>
      </c>
    </row>
    <row r="22" spans="1:4" ht="12.75">
      <c r="A22" s="9" t="s">
        <v>54</v>
      </c>
      <c r="B22" s="8">
        <v>149545.28</v>
      </c>
      <c r="C22" s="13">
        <v>129666.39</v>
      </c>
      <c r="D22" s="8">
        <f t="shared" si="0"/>
        <v>19878.89</v>
      </c>
    </row>
    <row r="23" spans="1:4" ht="12.75">
      <c r="A23" s="9" t="s">
        <v>55</v>
      </c>
      <c r="B23" s="8">
        <v>149545.28</v>
      </c>
      <c r="C23" s="13">
        <v>166909.6</v>
      </c>
      <c r="D23" s="13">
        <f t="shared" si="0"/>
        <v>-17364.320000000007</v>
      </c>
    </row>
    <row r="24" spans="1:4" ht="12.75">
      <c r="A24" s="9" t="s">
        <v>56</v>
      </c>
      <c r="B24" s="8">
        <v>149545.28</v>
      </c>
      <c r="C24" s="13">
        <v>136874.06</v>
      </c>
      <c r="D24" s="13">
        <f t="shared" si="0"/>
        <v>12671.220000000001</v>
      </c>
    </row>
    <row r="25" spans="1:4" ht="12.75">
      <c r="A25" s="9" t="s">
        <v>57</v>
      </c>
      <c r="B25" s="8">
        <v>149545.28</v>
      </c>
      <c r="C25" s="13">
        <v>218772.57</v>
      </c>
      <c r="D25" s="13">
        <f t="shared" si="0"/>
        <v>-69227.29000000001</v>
      </c>
    </row>
    <row r="26" spans="1:4" ht="12.75">
      <c r="A26" s="7" t="s">
        <v>58</v>
      </c>
      <c r="B26" s="8">
        <f>SUM(B27:B38)</f>
        <v>294.6000000000001</v>
      </c>
      <c r="C26" s="8">
        <f>SUM(C27:C38)</f>
        <v>217.87999999999997</v>
      </c>
      <c r="D26" s="8">
        <f>SUM(D27:D38)</f>
        <v>76.72</v>
      </c>
    </row>
    <row r="27" spans="1:4" ht="12.75">
      <c r="A27" s="9" t="s">
        <v>59</v>
      </c>
      <c r="B27" s="8">
        <v>24.55</v>
      </c>
      <c r="C27" s="8">
        <v>9.75</v>
      </c>
      <c r="D27" s="8">
        <f aca="true" t="shared" si="1" ref="D27:D38">B27-C27</f>
        <v>14.8</v>
      </c>
    </row>
    <row r="28" spans="1:4" ht="12.75">
      <c r="A28" s="9" t="s">
        <v>47</v>
      </c>
      <c r="B28" s="8">
        <v>24.55</v>
      </c>
      <c r="C28" s="13">
        <v>17.68</v>
      </c>
      <c r="D28" s="8">
        <f t="shared" si="1"/>
        <v>6.870000000000001</v>
      </c>
    </row>
    <row r="29" spans="1:4" ht="12.75">
      <c r="A29" s="9" t="s">
        <v>48</v>
      </c>
      <c r="B29" s="8">
        <v>24.55</v>
      </c>
      <c r="C29" s="13">
        <v>7.96</v>
      </c>
      <c r="D29" s="8">
        <f t="shared" si="1"/>
        <v>16.59</v>
      </c>
    </row>
    <row r="30" spans="1:4" ht="12.75">
      <c r="A30" s="9" t="s">
        <v>49</v>
      </c>
      <c r="B30" s="8">
        <v>24.55</v>
      </c>
      <c r="C30" s="13">
        <v>21.65</v>
      </c>
      <c r="D30" s="8">
        <f t="shared" si="1"/>
        <v>2.900000000000002</v>
      </c>
    </row>
    <row r="31" spans="1:4" ht="12.75">
      <c r="A31" s="9" t="s">
        <v>50</v>
      </c>
      <c r="B31" s="8">
        <v>24.55</v>
      </c>
      <c r="C31" s="13">
        <v>12.74</v>
      </c>
      <c r="D31" s="8">
        <f t="shared" si="1"/>
        <v>11.81</v>
      </c>
    </row>
    <row r="32" spans="1:4" ht="12.75">
      <c r="A32" s="9" t="s">
        <v>51</v>
      </c>
      <c r="B32" s="8">
        <v>24.55</v>
      </c>
      <c r="C32" s="13">
        <v>12.78</v>
      </c>
      <c r="D32" s="8">
        <f t="shared" si="1"/>
        <v>11.770000000000001</v>
      </c>
    </row>
    <row r="33" spans="1:4" ht="12.75">
      <c r="A33" s="9" t="s">
        <v>52</v>
      </c>
      <c r="B33" s="8">
        <v>24.55</v>
      </c>
      <c r="C33" s="13">
        <v>13.8</v>
      </c>
      <c r="D33" s="8">
        <f t="shared" si="1"/>
        <v>10.75</v>
      </c>
    </row>
    <row r="34" spans="1:4" ht="12.75">
      <c r="A34" s="9" t="s">
        <v>53</v>
      </c>
      <c r="B34" s="8">
        <v>24.55</v>
      </c>
      <c r="C34" s="13">
        <v>62.24</v>
      </c>
      <c r="D34" s="8">
        <f t="shared" si="1"/>
        <v>-37.69</v>
      </c>
    </row>
    <row r="35" spans="1:4" ht="12.75">
      <c r="A35" s="9" t="s">
        <v>54</v>
      </c>
      <c r="B35" s="8">
        <v>24.55</v>
      </c>
      <c r="C35" s="13">
        <v>20.25</v>
      </c>
      <c r="D35" s="8">
        <f t="shared" si="1"/>
        <v>4.300000000000001</v>
      </c>
    </row>
    <row r="36" spans="1:4" ht="12.75">
      <c r="A36" s="9" t="s">
        <v>55</v>
      </c>
      <c r="B36" s="8">
        <v>24.55</v>
      </c>
      <c r="C36" s="13">
        <v>16.66</v>
      </c>
      <c r="D36" s="13">
        <f t="shared" si="1"/>
        <v>7.890000000000001</v>
      </c>
    </row>
    <row r="37" spans="1:4" ht="12.75">
      <c r="A37" s="9" t="s">
        <v>56</v>
      </c>
      <c r="B37" s="8">
        <v>24.55</v>
      </c>
      <c r="C37" s="13">
        <v>8.67</v>
      </c>
      <c r="D37" s="13">
        <f t="shared" si="1"/>
        <v>15.88</v>
      </c>
    </row>
    <row r="38" spans="1:4" ht="12.75">
      <c r="A38" s="9" t="s">
        <v>57</v>
      </c>
      <c r="B38" s="8">
        <v>24.55</v>
      </c>
      <c r="C38" s="13">
        <v>13.7</v>
      </c>
      <c r="D38" s="13">
        <f t="shared" si="1"/>
        <v>10.850000000000001</v>
      </c>
    </row>
    <row r="39" spans="1:4" ht="12.75">
      <c r="A39" s="7" t="s">
        <v>75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>
      <c r="A40" s="9" t="s">
        <v>56</v>
      </c>
      <c r="B40" s="13"/>
      <c r="C40" s="13"/>
      <c r="D40" s="13">
        <f>B40-C40</f>
        <v>0</v>
      </c>
    </row>
    <row r="41" spans="1:4" ht="12.75">
      <c r="A41" s="9" t="s">
        <v>57</v>
      </c>
      <c r="B41" s="13"/>
      <c r="C41" s="13"/>
      <c r="D41" s="13">
        <f>B41-C41</f>
        <v>0</v>
      </c>
    </row>
    <row r="42" spans="1:4" ht="12.75">
      <c r="A42" s="7" t="s">
        <v>139</v>
      </c>
      <c r="B42" s="8">
        <f>SUM(B43:B54)</f>
        <v>0</v>
      </c>
      <c r="C42" s="8">
        <f>SUM(C43:C54)</f>
        <v>0</v>
      </c>
      <c r="D42" s="8">
        <f>SUM(D43:D54)</f>
        <v>0</v>
      </c>
    </row>
    <row r="43" spans="1:4" ht="12.75">
      <c r="A43" s="9" t="s">
        <v>59</v>
      </c>
      <c r="B43" s="8"/>
      <c r="C43" s="8"/>
      <c r="D43" s="8">
        <f aca="true" t="shared" si="2" ref="D43:D55">B43-C43</f>
        <v>0</v>
      </c>
    </row>
    <row r="44" spans="1:4" ht="12.75">
      <c r="A44" s="9" t="s">
        <v>47</v>
      </c>
      <c r="B44" s="13"/>
      <c r="C44" s="13"/>
      <c r="D44" s="8">
        <f t="shared" si="2"/>
        <v>0</v>
      </c>
    </row>
    <row r="45" spans="1:4" ht="12.75">
      <c r="A45" s="9" t="s">
        <v>48</v>
      </c>
      <c r="B45" s="13"/>
      <c r="C45" s="13"/>
      <c r="D45" s="8">
        <f t="shared" si="2"/>
        <v>0</v>
      </c>
    </row>
    <row r="46" spans="1:4" ht="12.75">
      <c r="A46" s="9" t="s">
        <v>49</v>
      </c>
      <c r="B46" s="13"/>
      <c r="C46" s="13"/>
      <c r="D46" s="8">
        <f t="shared" si="2"/>
        <v>0</v>
      </c>
    </row>
    <row r="47" spans="1:4" ht="12.75">
      <c r="A47" s="9" t="s">
        <v>50</v>
      </c>
      <c r="B47" s="13"/>
      <c r="C47" s="13"/>
      <c r="D47" s="8">
        <f t="shared" si="2"/>
        <v>0</v>
      </c>
    </row>
    <row r="48" spans="1:4" ht="12.75">
      <c r="A48" s="9" t="s">
        <v>51</v>
      </c>
      <c r="B48" s="13"/>
      <c r="C48" s="13"/>
      <c r="D48" s="8">
        <f t="shared" si="2"/>
        <v>0</v>
      </c>
    </row>
    <row r="49" spans="1:4" ht="12.75">
      <c r="A49" s="9" t="s">
        <v>52</v>
      </c>
      <c r="B49" s="13"/>
      <c r="C49" s="13"/>
      <c r="D49" s="8">
        <f t="shared" si="2"/>
        <v>0</v>
      </c>
    </row>
    <row r="50" spans="1:4" ht="12.75">
      <c r="A50" s="9" t="s">
        <v>53</v>
      </c>
      <c r="B50" s="8"/>
      <c r="C50" s="8"/>
      <c r="D50" s="8">
        <f t="shared" si="2"/>
        <v>0</v>
      </c>
    </row>
    <row r="51" spans="1:4" ht="12.75">
      <c r="A51" s="9" t="s">
        <v>54</v>
      </c>
      <c r="B51" s="13"/>
      <c r="C51" s="13"/>
      <c r="D51" s="8">
        <f t="shared" si="2"/>
        <v>0</v>
      </c>
    </row>
    <row r="52" spans="1:4" ht="12.75">
      <c r="A52" s="9" t="s">
        <v>55</v>
      </c>
      <c r="B52" s="13"/>
      <c r="C52" s="13"/>
      <c r="D52" s="13">
        <f t="shared" si="2"/>
        <v>0</v>
      </c>
    </row>
    <row r="53" spans="1:4" ht="12.75">
      <c r="A53" s="9" t="s">
        <v>56</v>
      </c>
      <c r="B53" s="13"/>
      <c r="C53" s="13"/>
      <c r="D53" s="13">
        <f t="shared" si="2"/>
        <v>0</v>
      </c>
    </row>
    <row r="54" spans="1:4" ht="12.75">
      <c r="A54" s="9" t="s">
        <v>57</v>
      </c>
      <c r="B54" s="13"/>
      <c r="C54" s="13"/>
      <c r="D54" s="13">
        <f t="shared" si="2"/>
        <v>0</v>
      </c>
    </row>
    <row r="55" spans="1:4" ht="15">
      <c r="A55" s="19" t="s">
        <v>122</v>
      </c>
      <c r="B55" s="13"/>
      <c r="C55" s="13"/>
      <c r="D55" s="13">
        <f t="shared" si="2"/>
        <v>0</v>
      </c>
    </row>
    <row r="56" spans="1:4" ht="12.75">
      <c r="A56" s="9" t="s">
        <v>60</v>
      </c>
      <c r="B56" s="8">
        <f>B13+B26</f>
        <v>1886853.36</v>
      </c>
      <c r="C56" s="8">
        <f>C13+C26</f>
        <v>1868748.96</v>
      </c>
      <c r="D56" s="8">
        <f>D13+D26</f>
        <v>18104.39999999998</v>
      </c>
    </row>
    <row r="58" spans="1:4" ht="12.75">
      <c r="A58" t="s">
        <v>61</v>
      </c>
      <c r="D58" s="12">
        <f>D56</f>
        <v>18104.39999999998</v>
      </c>
    </row>
    <row r="60" spans="1:4" ht="12.75">
      <c r="A60" s="11" t="s">
        <v>62</v>
      </c>
      <c r="D60" s="12">
        <f>D61+D62</f>
        <v>114878.78400000001</v>
      </c>
    </row>
    <row r="61" spans="1:4" ht="12.75">
      <c r="A61" s="11" t="s">
        <v>63</v>
      </c>
      <c r="D61" s="12">
        <f>(1.33*12*D5)</f>
        <v>97317.69600000001</v>
      </c>
    </row>
    <row r="62" spans="1:4" ht="12.75">
      <c r="A62" s="11" t="s">
        <v>64</v>
      </c>
      <c r="D62" s="12">
        <f>(0.24*12*D5)</f>
        <v>17561.088</v>
      </c>
    </row>
    <row r="63" spans="1:4" ht="12.75">
      <c r="A63" s="11" t="s">
        <v>65</v>
      </c>
      <c r="D63" s="12">
        <v>0</v>
      </c>
    </row>
    <row r="64" spans="1:4" ht="12.75">
      <c r="A64" s="11" t="s">
        <v>109</v>
      </c>
      <c r="D64" s="12">
        <f>1373*0.22*4+(1373*2.5)</f>
        <v>4640.74</v>
      </c>
    </row>
    <row r="65" spans="1:4" ht="12.75">
      <c r="A65" s="11" t="s">
        <v>121</v>
      </c>
      <c r="D65" s="12">
        <f>(2.66*6*D5)</f>
        <v>97317.69600000001</v>
      </c>
    </row>
    <row r="66" spans="1:4" ht="12.75">
      <c r="A66" s="11" t="s">
        <v>66</v>
      </c>
      <c r="D66" s="12">
        <v>0</v>
      </c>
    </row>
    <row r="67" spans="1:4" ht="12.75">
      <c r="A67" s="11" t="s">
        <v>108</v>
      </c>
      <c r="D67" s="12">
        <f>(0.72*3*D5)</f>
        <v>13170.816000000003</v>
      </c>
    </row>
    <row r="68" spans="1:4" ht="12.75">
      <c r="A68" s="11" t="s">
        <v>67</v>
      </c>
      <c r="D68" s="12">
        <f>(1.45*12*D5)</f>
        <v>106098.23999999999</v>
      </c>
    </row>
    <row r="69" spans="1:4" ht="12.75">
      <c r="A69" s="11" t="s">
        <v>68</v>
      </c>
      <c r="D69" s="12">
        <f>(5.11*12*D5)</f>
        <v>373904.83200000005</v>
      </c>
    </row>
    <row r="70" spans="1:4" ht="12.75">
      <c r="A70" s="11" t="s">
        <v>69</v>
      </c>
      <c r="D70" s="12">
        <f>(0.29*12*D5)</f>
        <v>21219.647999999997</v>
      </c>
    </row>
    <row r="71" spans="1:4" ht="12.75">
      <c r="A71" s="11" t="s">
        <v>110</v>
      </c>
      <c r="D71" s="12">
        <f>(3.87*12*D5)</f>
        <v>283172.544</v>
      </c>
    </row>
    <row r="72" spans="1:4" ht="12.75">
      <c r="A72" s="11" t="s">
        <v>70</v>
      </c>
      <c r="D72" s="12">
        <f>2.25*12*D6</f>
        <v>2970</v>
      </c>
    </row>
    <row r="73" spans="1:4" ht="12.75">
      <c r="A73" s="11" t="s">
        <v>71</v>
      </c>
      <c r="D73" s="12">
        <v>344968</v>
      </c>
    </row>
    <row r="74" spans="1:4" ht="12.75">
      <c r="A74" s="11" t="s">
        <v>72</v>
      </c>
      <c r="D74" s="12">
        <f>(0.7*12*D5)</f>
        <v>51219.84</v>
      </c>
    </row>
    <row r="75" spans="1:4" ht="12.75">
      <c r="A75" s="14" t="s">
        <v>96</v>
      </c>
      <c r="D75" s="12">
        <v>0</v>
      </c>
    </row>
    <row r="76" spans="1:4" ht="12.75">
      <c r="A76" s="11" t="s">
        <v>98</v>
      </c>
      <c r="D76" s="12">
        <f>(4.66*12*D5)</f>
        <v>340977.792</v>
      </c>
    </row>
    <row r="77" spans="1:4" ht="12.75">
      <c r="A77" s="11"/>
      <c r="D77" s="12"/>
    </row>
    <row r="78" spans="1:4" ht="12.75">
      <c r="A78" s="11" t="s">
        <v>73</v>
      </c>
      <c r="D78" s="12">
        <f>D60+D63+D65+D66+D68+D69+D70+D71+D72+D73+D74+D75+D76-D75+D64+D67</f>
        <v>1754538.9320000003</v>
      </c>
    </row>
    <row r="79" spans="1:4" ht="12.75">
      <c r="A79" s="11"/>
      <c r="D79" s="12"/>
    </row>
    <row r="80" spans="1:4" ht="12.75">
      <c r="A80" t="s">
        <v>100</v>
      </c>
      <c r="D80" s="12">
        <f>C56-D78</f>
        <v>114210.0279999997</v>
      </c>
    </row>
    <row r="82" spans="1:2" ht="12.75" hidden="1">
      <c r="A82">
        <v>527</v>
      </c>
      <c r="B82" t="s">
        <v>123</v>
      </c>
    </row>
    <row r="83" spans="1:2" ht="12.75" hidden="1">
      <c r="A83">
        <v>28971</v>
      </c>
      <c r="B83" t="s">
        <v>124</v>
      </c>
    </row>
    <row r="84" spans="1:2" ht="12.75" hidden="1">
      <c r="A84">
        <v>6702</v>
      </c>
      <c r="B84" t="s">
        <v>28</v>
      </c>
    </row>
    <row r="85" spans="1:2" ht="12.75" hidden="1">
      <c r="A85">
        <v>2392</v>
      </c>
      <c r="B85" t="s">
        <v>27</v>
      </c>
    </row>
    <row r="86" spans="1:2" ht="12.75" hidden="1">
      <c r="A86">
        <v>12537</v>
      </c>
      <c r="B86" t="s">
        <v>195</v>
      </c>
    </row>
    <row r="87" spans="1:2" ht="12.75" hidden="1">
      <c r="A87">
        <v>2227</v>
      </c>
      <c r="B87" t="s">
        <v>119</v>
      </c>
    </row>
    <row r="88" spans="1:2" ht="12.75" hidden="1">
      <c r="A88">
        <v>5712</v>
      </c>
      <c r="B88" t="s">
        <v>197</v>
      </c>
    </row>
    <row r="89" ht="12.75" hidden="1"/>
    <row r="90" ht="12.75" hidden="1"/>
    <row r="91" spans="1:2" ht="12.75" hidden="1">
      <c r="A91">
        <v>216</v>
      </c>
      <c r="B91" t="s">
        <v>198</v>
      </c>
    </row>
    <row r="92" ht="12.75" hidden="1"/>
    <row r="93" spans="1:2" ht="12.75" hidden="1">
      <c r="A93">
        <v>38815</v>
      </c>
      <c r="B93" t="s">
        <v>127</v>
      </c>
    </row>
    <row r="94" spans="1:2" ht="12.75" hidden="1">
      <c r="A94">
        <v>2922</v>
      </c>
      <c r="B94" t="s">
        <v>206</v>
      </c>
    </row>
    <row r="95" ht="12.75" hidden="1"/>
    <row r="96" spans="1:2" ht="12.75" hidden="1">
      <c r="A96">
        <v>533</v>
      </c>
      <c r="B96" t="s">
        <v>207</v>
      </c>
    </row>
    <row r="97" spans="1:2" ht="12.75" hidden="1">
      <c r="A97">
        <v>2224</v>
      </c>
      <c r="B97" t="s">
        <v>123</v>
      </c>
    </row>
    <row r="98" spans="1:2" ht="12.75" hidden="1">
      <c r="A98">
        <v>1743</v>
      </c>
      <c r="B98" t="s">
        <v>138</v>
      </c>
    </row>
    <row r="99" spans="1:2" ht="12.75" hidden="1">
      <c r="A99">
        <v>434</v>
      </c>
      <c r="B99" t="s">
        <v>27</v>
      </c>
    </row>
    <row r="100" spans="1:2" ht="12.75" hidden="1">
      <c r="A100">
        <v>6389</v>
      </c>
      <c r="B100" t="s">
        <v>138</v>
      </c>
    </row>
    <row r="101" spans="1:2" ht="12.75" hidden="1">
      <c r="A101">
        <v>18338</v>
      </c>
      <c r="B101" t="s">
        <v>124</v>
      </c>
    </row>
    <row r="102" spans="1:2" ht="12.75" hidden="1">
      <c r="A102">
        <v>2349</v>
      </c>
      <c r="B102" t="s">
        <v>150</v>
      </c>
    </row>
    <row r="103" spans="1:2" ht="12.75" hidden="1">
      <c r="A103">
        <v>91686</v>
      </c>
      <c r="B103" t="s">
        <v>151</v>
      </c>
    </row>
    <row r="104" spans="1:2" ht="12.75" hidden="1">
      <c r="A104">
        <v>116671</v>
      </c>
      <c r="B104" t="s">
        <v>132</v>
      </c>
    </row>
    <row r="105" spans="1:2" ht="12.75" hidden="1">
      <c r="A105">
        <v>3580</v>
      </c>
      <c r="B105" t="s">
        <v>127</v>
      </c>
    </row>
    <row r="106" ht="12.75" hidden="1">
      <c r="A106">
        <f>SUM(A82:A105)</f>
        <v>344968</v>
      </c>
    </row>
    <row r="107" ht="12.75" hidden="1"/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G78"/>
  <sheetViews>
    <sheetView zoomScalePageLayoutView="0" workbookViewId="0" topLeftCell="A61">
      <selection activeCell="A65" sqref="A65:IV78"/>
    </sheetView>
  </sheetViews>
  <sheetFormatPr defaultColWidth="9.140625" defaultRowHeight="12.75"/>
  <cols>
    <col min="2" max="2" width="14.140625" style="0" bestFit="1" customWidth="1"/>
    <col min="3" max="3" width="15.00390625" style="0" bestFit="1" customWidth="1"/>
    <col min="4" max="4" width="12.28125" style="0" bestFit="1" customWidth="1"/>
  </cols>
  <sheetData>
    <row r="1" ht="12.75">
      <c r="A1" t="s">
        <v>3</v>
      </c>
    </row>
    <row r="2" ht="12.75">
      <c r="A2" t="s">
        <v>5</v>
      </c>
    </row>
    <row r="3" spans="1:7" ht="12.75">
      <c r="A3" s="1" t="s">
        <v>34</v>
      </c>
      <c r="B3" s="2" t="s">
        <v>35</v>
      </c>
      <c r="C3" s="1" t="s">
        <v>93</v>
      </c>
      <c r="D3" s="1"/>
      <c r="E3" s="1" t="s">
        <v>36</v>
      </c>
      <c r="F3" s="3" t="s">
        <v>94</v>
      </c>
      <c r="G3" s="21">
        <v>2018</v>
      </c>
    </row>
    <row r="5" spans="1:5" ht="12.75">
      <c r="A5" t="s">
        <v>37</v>
      </c>
      <c r="D5" s="4">
        <v>4169.1</v>
      </c>
      <c r="E5" s="5" t="s">
        <v>74</v>
      </c>
    </row>
    <row r="6" spans="1:5" ht="12.75">
      <c r="A6" t="s">
        <v>38</v>
      </c>
      <c r="D6" s="4">
        <v>72</v>
      </c>
      <c r="E6" s="5"/>
    </row>
    <row r="7" spans="1:5" ht="12.75">
      <c r="A7" t="s">
        <v>39</v>
      </c>
      <c r="D7" s="4">
        <v>150</v>
      </c>
      <c r="E7" s="5" t="s">
        <v>40</v>
      </c>
    </row>
    <row r="8" spans="1:5" ht="12.75">
      <c r="A8" t="s">
        <v>41</v>
      </c>
      <c r="D8" s="4">
        <v>713</v>
      </c>
      <c r="E8" s="5" t="s">
        <v>74</v>
      </c>
    </row>
    <row r="9" spans="1:5" ht="12.75">
      <c r="A9" t="s">
        <v>42</v>
      </c>
      <c r="D9" s="4">
        <v>764</v>
      </c>
      <c r="E9" s="5" t="s">
        <v>74</v>
      </c>
    </row>
    <row r="12" spans="2:4" ht="12" customHeight="1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1109148.42</v>
      </c>
      <c r="C13" s="8">
        <f>SUM(C14:C25)</f>
        <v>1085937.17</v>
      </c>
      <c r="D13" s="8">
        <f>SUM(D14:D25)</f>
        <v>23211.249999999956</v>
      </c>
    </row>
    <row r="14" spans="1:4" ht="12.75">
      <c r="A14" s="9" t="s">
        <v>59</v>
      </c>
      <c r="B14" s="8">
        <v>96806.43</v>
      </c>
      <c r="C14" s="8">
        <v>96502.95</v>
      </c>
      <c r="D14" s="8">
        <f aca="true" t="shared" si="0" ref="D14:D25">B14-C14</f>
        <v>303.4799999999959</v>
      </c>
    </row>
    <row r="15" spans="1:4" ht="12.75">
      <c r="A15" s="9" t="s">
        <v>47</v>
      </c>
      <c r="B15" s="8">
        <v>96806.43</v>
      </c>
      <c r="C15" s="13">
        <v>88759.98</v>
      </c>
      <c r="D15" s="8">
        <f t="shared" si="0"/>
        <v>8046.449999999997</v>
      </c>
    </row>
    <row r="16" spans="1:4" ht="12.75">
      <c r="A16" s="9" t="s">
        <v>48</v>
      </c>
      <c r="B16" s="8">
        <v>96806.43</v>
      </c>
      <c r="C16" s="13">
        <v>100817.66</v>
      </c>
      <c r="D16" s="8">
        <f t="shared" si="0"/>
        <v>-4011.2300000000105</v>
      </c>
    </row>
    <row r="17" spans="1:4" ht="12.75">
      <c r="A17" s="9" t="s">
        <v>49</v>
      </c>
      <c r="B17" s="8">
        <v>96806.43</v>
      </c>
      <c r="C17" s="13">
        <v>86625.66</v>
      </c>
      <c r="D17" s="8">
        <f t="shared" si="0"/>
        <v>10180.76999999999</v>
      </c>
    </row>
    <row r="18" spans="1:4" ht="12.75">
      <c r="A18" s="9" t="s">
        <v>50</v>
      </c>
      <c r="B18" s="8">
        <v>96806.43</v>
      </c>
      <c r="C18" s="13">
        <v>92437.27</v>
      </c>
      <c r="D18" s="8">
        <f t="shared" si="0"/>
        <v>4369.159999999989</v>
      </c>
    </row>
    <row r="19" spans="1:4" ht="12.75">
      <c r="A19" s="9" t="s">
        <v>51</v>
      </c>
      <c r="B19" s="8">
        <v>96806.43</v>
      </c>
      <c r="C19" s="13">
        <v>89211.29</v>
      </c>
      <c r="D19" s="8">
        <f t="shared" si="0"/>
        <v>7595.139999999999</v>
      </c>
    </row>
    <row r="20" spans="1:4" ht="12.75">
      <c r="A20" s="9" t="s">
        <v>52</v>
      </c>
      <c r="B20" s="8">
        <v>88051.64</v>
      </c>
      <c r="C20" s="13">
        <v>87505.96</v>
      </c>
      <c r="D20" s="8">
        <f t="shared" si="0"/>
        <v>545.679999999993</v>
      </c>
    </row>
    <row r="21" spans="1:4" ht="12.75">
      <c r="A21" s="9" t="s">
        <v>53</v>
      </c>
      <c r="B21" s="8">
        <v>88051.64</v>
      </c>
      <c r="C21" s="13">
        <v>101032.01</v>
      </c>
      <c r="D21" s="8">
        <f t="shared" si="0"/>
        <v>-12980.369999999995</v>
      </c>
    </row>
    <row r="22" spans="1:4" ht="12.75">
      <c r="A22" s="9" t="s">
        <v>54</v>
      </c>
      <c r="B22" s="8">
        <v>88051.64</v>
      </c>
      <c r="C22" s="13">
        <v>88490.7</v>
      </c>
      <c r="D22" s="8">
        <f t="shared" si="0"/>
        <v>-439.0599999999977</v>
      </c>
    </row>
    <row r="23" spans="1:4" ht="12.75">
      <c r="A23" s="9" t="s">
        <v>55</v>
      </c>
      <c r="B23" s="8">
        <v>88051.64</v>
      </c>
      <c r="C23" s="13">
        <v>83486.66</v>
      </c>
      <c r="D23" s="13">
        <f t="shared" si="0"/>
        <v>4564.979999999996</v>
      </c>
    </row>
    <row r="24" spans="1:4" ht="12.75">
      <c r="A24" s="9" t="s">
        <v>56</v>
      </c>
      <c r="B24" s="8">
        <v>88051.64</v>
      </c>
      <c r="C24" s="13">
        <v>82451.81</v>
      </c>
      <c r="D24" s="13">
        <f t="shared" si="0"/>
        <v>5599.830000000002</v>
      </c>
    </row>
    <row r="25" spans="1:4" ht="12.75">
      <c r="A25" s="9" t="s">
        <v>57</v>
      </c>
      <c r="B25" s="8">
        <v>88051.64</v>
      </c>
      <c r="C25" s="13">
        <v>88615.22</v>
      </c>
      <c r="D25" s="13">
        <f t="shared" si="0"/>
        <v>-563.5800000000017</v>
      </c>
    </row>
    <row r="26" spans="1:4" ht="12.75">
      <c r="A26" s="7" t="s">
        <v>58</v>
      </c>
      <c r="B26" s="8">
        <f>SUM(B27:B38)</f>
        <v>0</v>
      </c>
      <c r="C26" s="8">
        <f>SUM(C27:C38)</f>
        <v>0</v>
      </c>
      <c r="D26" s="8">
        <f>SUM(D27:D38)</f>
        <v>0</v>
      </c>
    </row>
    <row r="27" spans="1:4" ht="12.75">
      <c r="A27" s="9" t="s">
        <v>59</v>
      </c>
      <c r="B27" s="8"/>
      <c r="C27" s="8"/>
      <c r="D27" s="8">
        <f aca="true" t="shared" si="1" ref="D27:D38">B27-C27</f>
        <v>0</v>
      </c>
    </row>
    <row r="28" spans="1:4" ht="12.75">
      <c r="A28" s="9" t="s">
        <v>47</v>
      </c>
      <c r="B28" s="13"/>
      <c r="C28" s="13"/>
      <c r="D28" s="8">
        <f t="shared" si="1"/>
        <v>0</v>
      </c>
    </row>
    <row r="29" spans="1:4" ht="12.75">
      <c r="A29" s="9" t="s">
        <v>48</v>
      </c>
      <c r="B29" s="13"/>
      <c r="C29" s="13"/>
      <c r="D29" s="8">
        <f t="shared" si="1"/>
        <v>0</v>
      </c>
    </row>
    <row r="30" spans="1:4" ht="12.75">
      <c r="A30" s="9" t="s">
        <v>49</v>
      </c>
      <c r="B30" s="13"/>
      <c r="C30" s="13"/>
      <c r="D30" s="8">
        <f t="shared" si="1"/>
        <v>0</v>
      </c>
    </row>
    <row r="31" spans="1:4" ht="12.75">
      <c r="A31" s="9" t="s">
        <v>50</v>
      </c>
      <c r="B31" s="13"/>
      <c r="C31" s="13"/>
      <c r="D31" s="8">
        <f t="shared" si="1"/>
        <v>0</v>
      </c>
    </row>
    <row r="32" spans="1:4" ht="12.75">
      <c r="A32" s="9" t="s">
        <v>51</v>
      </c>
      <c r="B32" s="13"/>
      <c r="C32" s="13"/>
      <c r="D32" s="8">
        <f t="shared" si="1"/>
        <v>0</v>
      </c>
    </row>
    <row r="33" spans="1:4" ht="12.75">
      <c r="A33" s="9" t="s">
        <v>52</v>
      </c>
      <c r="B33" s="13"/>
      <c r="C33" s="13"/>
      <c r="D33" s="8">
        <f t="shared" si="1"/>
        <v>0</v>
      </c>
    </row>
    <row r="34" spans="1:4" ht="12.75">
      <c r="A34" s="9" t="s">
        <v>53</v>
      </c>
      <c r="B34" s="13"/>
      <c r="C34" s="13"/>
      <c r="D34" s="8">
        <f t="shared" si="1"/>
        <v>0</v>
      </c>
    </row>
    <row r="35" spans="1:4" ht="12.75">
      <c r="A35" s="9" t="s">
        <v>54</v>
      </c>
      <c r="B35" s="13"/>
      <c r="C35" s="13"/>
      <c r="D35" s="8">
        <f t="shared" si="1"/>
        <v>0</v>
      </c>
    </row>
    <row r="36" spans="1:4" ht="12.75">
      <c r="A36" s="9" t="s">
        <v>55</v>
      </c>
      <c r="B36" s="13"/>
      <c r="C36" s="13"/>
      <c r="D36" s="13">
        <f t="shared" si="1"/>
        <v>0</v>
      </c>
    </row>
    <row r="37" spans="1:4" ht="12.75">
      <c r="A37" s="9" t="s">
        <v>56</v>
      </c>
      <c r="B37" s="13"/>
      <c r="C37" s="13"/>
      <c r="D37" s="13">
        <f t="shared" si="1"/>
        <v>0</v>
      </c>
    </row>
    <row r="38" spans="1:4" ht="12.75">
      <c r="A38" s="9" t="s">
        <v>57</v>
      </c>
      <c r="B38" s="10"/>
      <c r="C38" s="10"/>
      <c r="D38" s="13">
        <f t="shared" si="1"/>
        <v>0</v>
      </c>
    </row>
    <row r="39" spans="1:4" ht="12.75">
      <c r="A39" s="9" t="s">
        <v>60</v>
      </c>
      <c r="B39" s="8">
        <f>B13+B26</f>
        <v>1109148.42</v>
      </c>
      <c r="C39" s="8">
        <f>C13+C26</f>
        <v>1085937.17</v>
      </c>
      <c r="D39" s="8">
        <f>D13+D26</f>
        <v>23211.249999999956</v>
      </c>
    </row>
    <row r="41" spans="1:4" ht="12.75">
      <c r="A41" t="s">
        <v>61</v>
      </c>
      <c r="D41" s="12">
        <f>D39</f>
        <v>23211.249999999956</v>
      </c>
    </row>
    <row r="43" spans="1:4" ht="12.75">
      <c r="A43" s="11" t="s">
        <v>62</v>
      </c>
      <c r="D43" s="12">
        <f>D44+D45</f>
        <v>67039.12800000001</v>
      </c>
    </row>
    <row r="44" spans="1:4" ht="12.75">
      <c r="A44" s="11" t="s">
        <v>63</v>
      </c>
      <c r="D44" s="12">
        <f>(1.1*12*D5)</f>
        <v>55032.12000000001</v>
      </c>
    </row>
    <row r="45" spans="1:4" ht="12.75">
      <c r="A45" s="11" t="s">
        <v>64</v>
      </c>
      <c r="D45" s="12">
        <f>(0.24*12*D5)</f>
        <v>12007.008</v>
      </c>
    </row>
    <row r="46" spans="1:4" ht="12.75">
      <c r="A46" s="11" t="s">
        <v>65</v>
      </c>
      <c r="D46" s="12">
        <v>0</v>
      </c>
    </row>
    <row r="47" spans="1:4" ht="12.75">
      <c r="A47" s="11" t="s">
        <v>109</v>
      </c>
      <c r="D47" s="12">
        <f>936*0.22*4+(936*2.5)</f>
        <v>3163.68</v>
      </c>
    </row>
    <row r="48" spans="1:4" ht="12.75">
      <c r="A48" s="11" t="s">
        <v>121</v>
      </c>
      <c r="D48" s="12">
        <f>(2.2*12*D5)</f>
        <v>110064.24000000002</v>
      </c>
    </row>
    <row r="49" spans="1:4" ht="12.75">
      <c r="A49" s="11" t="s">
        <v>66</v>
      </c>
      <c r="D49" s="12">
        <v>0</v>
      </c>
    </row>
    <row r="50" spans="1:4" ht="12.75">
      <c r="A50" s="11" t="s">
        <v>108</v>
      </c>
      <c r="D50" s="12">
        <f>(0.72*3*D5)</f>
        <v>9005.256000000001</v>
      </c>
    </row>
    <row r="51" spans="1:4" ht="12.75">
      <c r="A51" s="11" t="s">
        <v>67</v>
      </c>
      <c r="D51" s="12">
        <f>(1.2*12*D5)</f>
        <v>60035.04</v>
      </c>
    </row>
    <row r="52" spans="1:4" ht="12.75">
      <c r="A52" s="11" t="s">
        <v>68</v>
      </c>
      <c r="D52" s="12">
        <f>(4.82*12*D5)</f>
        <v>241140.74400000004</v>
      </c>
    </row>
    <row r="53" spans="1:4" ht="12.75">
      <c r="A53" s="11" t="s">
        <v>69</v>
      </c>
      <c r="D53" s="12">
        <f>(0.24*12*D5)</f>
        <v>12007.008</v>
      </c>
    </row>
    <row r="54" spans="1:4" ht="12.75">
      <c r="A54" s="11" t="s">
        <v>110</v>
      </c>
      <c r="D54" s="12">
        <f>(3.2*12*D5)</f>
        <v>160093.44000000003</v>
      </c>
    </row>
    <row r="55" spans="1:4" ht="12.75">
      <c r="A55" s="11" t="s">
        <v>70</v>
      </c>
      <c r="D55" s="12">
        <f>2.25*12*D6</f>
        <v>1944</v>
      </c>
    </row>
    <row r="56" spans="1:4" ht="12.75">
      <c r="A56" s="11" t="s">
        <v>71</v>
      </c>
      <c r="D56" s="12">
        <v>75668</v>
      </c>
    </row>
    <row r="57" spans="1:4" ht="12.75">
      <c r="A57" s="11" t="s">
        <v>72</v>
      </c>
      <c r="D57" s="12">
        <f>(0.57*12*D5)</f>
        <v>28516.644</v>
      </c>
    </row>
    <row r="58" spans="1:4" ht="12.75">
      <c r="A58" s="14" t="s">
        <v>96</v>
      </c>
      <c r="D58" s="12">
        <v>0</v>
      </c>
    </row>
    <row r="59" spans="1:4" ht="12.75">
      <c r="A59" s="11" t="s">
        <v>98</v>
      </c>
      <c r="D59" s="12">
        <f>(3.85*12*D5)</f>
        <v>192612.42000000004</v>
      </c>
    </row>
    <row r="60" spans="1:4" ht="12.75">
      <c r="A60" s="11"/>
      <c r="D60" s="12"/>
    </row>
    <row r="61" spans="1:4" ht="12.75">
      <c r="A61" s="11" t="s">
        <v>73</v>
      </c>
      <c r="D61" s="12">
        <f>D43+D46+D48+D49+D51+D52+D53+D54+D55+D56+D57+D58+D59-D58+D47+D50</f>
        <v>961289.6000000002</v>
      </c>
    </row>
    <row r="62" spans="1:4" ht="12.75">
      <c r="A62" s="11"/>
      <c r="D62" s="12"/>
    </row>
    <row r="63" spans="1:4" ht="12.75">
      <c r="A63" t="s">
        <v>100</v>
      </c>
      <c r="D63" s="12">
        <f>C39-D61</f>
        <v>124647.56999999972</v>
      </c>
    </row>
    <row r="65" spans="1:2" ht="12.75" hidden="1">
      <c r="A65">
        <v>9737</v>
      </c>
      <c r="B65" t="s">
        <v>169</v>
      </c>
    </row>
    <row r="66" spans="1:2" ht="12.75" hidden="1">
      <c r="A66">
        <v>1599</v>
      </c>
      <c r="B66" t="s">
        <v>27</v>
      </c>
    </row>
    <row r="67" spans="1:2" ht="12.75" hidden="1">
      <c r="A67">
        <v>15655</v>
      </c>
      <c r="B67" t="s">
        <v>22</v>
      </c>
    </row>
    <row r="68" spans="1:2" ht="12.75" hidden="1">
      <c r="A68">
        <v>216</v>
      </c>
      <c r="B68" t="s">
        <v>198</v>
      </c>
    </row>
    <row r="69" spans="1:2" ht="12.75" hidden="1">
      <c r="A69">
        <v>9786</v>
      </c>
      <c r="B69" t="s">
        <v>190</v>
      </c>
    </row>
    <row r="70" spans="1:2" ht="12.75" hidden="1">
      <c r="A70">
        <v>342</v>
      </c>
      <c r="B70" t="s">
        <v>27</v>
      </c>
    </row>
    <row r="71" spans="1:2" ht="12.75" hidden="1">
      <c r="A71">
        <v>19450</v>
      </c>
      <c r="B71" t="s">
        <v>124</v>
      </c>
    </row>
    <row r="72" spans="1:2" ht="12.75" hidden="1">
      <c r="A72">
        <v>2395</v>
      </c>
      <c r="B72" t="s">
        <v>150</v>
      </c>
    </row>
    <row r="73" spans="1:2" ht="12.75" hidden="1">
      <c r="A73">
        <v>1263</v>
      </c>
      <c r="B73" t="s">
        <v>152</v>
      </c>
    </row>
    <row r="74" spans="1:2" ht="12.75" hidden="1">
      <c r="A74">
        <v>638</v>
      </c>
      <c r="B74" t="s">
        <v>125</v>
      </c>
    </row>
    <row r="75" spans="1:2" ht="12.75" hidden="1">
      <c r="A75">
        <v>5461</v>
      </c>
      <c r="B75" t="s">
        <v>153</v>
      </c>
    </row>
    <row r="76" spans="1:2" ht="12.75" hidden="1">
      <c r="A76">
        <v>3823</v>
      </c>
      <c r="B76" t="s">
        <v>127</v>
      </c>
    </row>
    <row r="77" spans="1:2" ht="12.75" hidden="1">
      <c r="A77">
        <v>5303</v>
      </c>
      <c r="B77" t="s">
        <v>15</v>
      </c>
    </row>
    <row r="78" ht="12.75" hidden="1">
      <c r="A78">
        <f>SUM(A65:A77)</f>
        <v>75668</v>
      </c>
    </row>
  </sheetData>
  <sheetProtection/>
  <printOptions/>
  <pageMargins left="0.7480314960629921" right="0.7480314960629921" top="0.1968503937007874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G82"/>
  <sheetViews>
    <sheetView zoomScalePageLayoutView="0" workbookViewId="0" topLeftCell="A55">
      <selection activeCell="A67" sqref="A67:IV84"/>
    </sheetView>
  </sheetViews>
  <sheetFormatPr defaultColWidth="9.140625" defaultRowHeight="12.75"/>
  <cols>
    <col min="2" max="3" width="14.140625" style="0" bestFit="1" customWidth="1"/>
    <col min="4" max="4" width="14.00390625" style="0" bestFit="1" customWidth="1"/>
  </cols>
  <sheetData>
    <row r="1" ht="12.75">
      <c r="A1" t="s">
        <v>6</v>
      </c>
    </row>
    <row r="2" spans="1:7" ht="12.75">
      <c r="A2" s="1" t="s">
        <v>34</v>
      </c>
      <c r="B2" s="2" t="s">
        <v>35</v>
      </c>
      <c r="C2" s="1" t="s">
        <v>95</v>
      </c>
      <c r="D2" s="1"/>
      <c r="E2" s="1" t="s">
        <v>36</v>
      </c>
      <c r="F2" s="3">
        <v>5</v>
      </c>
      <c r="G2" s="21">
        <v>2018</v>
      </c>
    </row>
    <row r="4" spans="1:5" ht="12.75">
      <c r="A4" t="s">
        <v>37</v>
      </c>
      <c r="D4" s="4">
        <v>4232.4</v>
      </c>
      <c r="E4" s="5" t="s">
        <v>74</v>
      </c>
    </row>
    <row r="5" spans="1:5" ht="12.75">
      <c r="A5" t="s">
        <v>38</v>
      </c>
      <c r="D5" s="4">
        <v>72</v>
      </c>
      <c r="E5" s="5"/>
    </row>
    <row r="6" spans="1:5" ht="12.75">
      <c r="A6" t="s">
        <v>39</v>
      </c>
      <c r="D6" s="4">
        <v>159</v>
      </c>
      <c r="E6" s="5" t="s">
        <v>40</v>
      </c>
    </row>
    <row r="7" spans="1:5" ht="12.75">
      <c r="A7" t="s">
        <v>41</v>
      </c>
      <c r="C7" t="s">
        <v>102</v>
      </c>
      <c r="D7" s="4">
        <v>494.4</v>
      </c>
      <c r="E7" s="5" t="s">
        <v>74</v>
      </c>
    </row>
    <row r="8" spans="1:5" ht="12.75">
      <c r="A8" t="s">
        <v>42</v>
      </c>
      <c r="D8" s="4">
        <v>2299</v>
      </c>
      <c r="E8" s="5" t="s">
        <v>74</v>
      </c>
    </row>
    <row r="11" spans="2:4" ht="12.75">
      <c r="B11" s="6" t="s">
        <v>43</v>
      </c>
      <c r="C11" s="6" t="s">
        <v>44</v>
      </c>
      <c r="D11" s="6" t="s">
        <v>45</v>
      </c>
    </row>
    <row r="12" spans="1:4" ht="12.75">
      <c r="A12" s="7" t="s">
        <v>46</v>
      </c>
      <c r="B12" s="8">
        <f>SUM(B13:B24)</f>
        <v>1287961.0200000003</v>
      </c>
      <c r="C12" s="8">
        <f>SUM(C13:C24)</f>
        <v>1283772.8</v>
      </c>
      <c r="D12" s="8">
        <f>SUM(D13:D24)</f>
        <v>4188.2200000000885</v>
      </c>
    </row>
    <row r="13" spans="1:4" ht="12.75" customHeight="1">
      <c r="A13" s="9" t="s">
        <v>59</v>
      </c>
      <c r="B13" s="8">
        <v>112734.6</v>
      </c>
      <c r="C13" s="8">
        <v>112701.31</v>
      </c>
      <c r="D13" s="8">
        <f aca="true" t="shared" si="0" ref="D13:D24">B13-C13</f>
        <v>33.29000000000815</v>
      </c>
    </row>
    <row r="14" spans="1:4" ht="12.75" customHeight="1">
      <c r="A14" s="9" t="s">
        <v>47</v>
      </c>
      <c r="B14" s="8">
        <v>112734.6</v>
      </c>
      <c r="C14" s="13">
        <v>112159.5</v>
      </c>
      <c r="D14" s="8">
        <f t="shared" si="0"/>
        <v>575.1000000000058</v>
      </c>
    </row>
    <row r="15" spans="1:4" ht="12.75" customHeight="1">
      <c r="A15" s="9" t="s">
        <v>48</v>
      </c>
      <c r="B15" s="8">
        <v>112734.6</v>
      </c>
      <c r="C15" s="13">
        <v>108360.12</v>
      </c>
      <c r="D15" s="8">
        <f t="shared" si="0"/>
        <v>4374.4800000000105</v>
      </c>
    </row>
    <row r="16" spans="1:4" ht="12.75" customHeight="1">
      <c r="A16" s="9" t="s">
        <v>49</v>
      </c>
      <c r="B16" s="8">
        <v>112734.6</v>
      </c>
      <c r="C16" s="13">
        <v>113030.42</v>
      </c>
      <c r="D16" s="8">
        <f t="shared" si="0"/>
        <v>-295.81999999999243</v>
      </c>
    </row>
    <row r="17" spans="1:4" ht="12.75" customHeight="1">
      <c r="A17" s="9" t="s">
        <v>50</v>
      </c>
      <c r="B17" s="8">
        <v>112734.6</v>
      </c>
      <c r="C17" s="13">
        <v>104601.24</v>
      </c>
      <c r="D17" s="8">
        <f t="shared" si="0"/>
        <v>8133.360000000001</v>
      </c>
    </row>
    <row r="18" spans="1:4" ht="12.75" customHeight="1">
      <c r="A18" s="9" t="s">
        <v>51</v>
      </c>
      <c r="B18" s="8">
        <v>112734.6</v>
      </c>
      <c r="C18" s="13">
        <v>103956.2</v>
      </c>
      <c r="D18" s="8">
        <f t="shared" si="0"/>
        <v>8778.400000000009</v>
      </c>
    </row>
    <row r="19" spans="1:4" ht="12.75" customHeight="1">
      <c r="A19" s="9" t="s">
        <v>52</v>
      </c>
      <c r="B19" s="8">
        <v>101925.57</v>
      </c>
      <c r="C19" s="13">
        <v>109506.76</v>
      </c>
      <c r="D19" s="8">
        <f t="shared" si="0"/>
        <v>-7581.189999999988</v>
      </c>
    </row>
    <row r="20" spans="1:4" ht="12.75" customHeight="1">
      <c r="A20" s="9" t="s">
        <v>53</v>
      </c>
      <c r="B20" s="8">
        <v>101925.57</v>
      </c>
      <c r="C20" s="13">
        <v>102934.28</v>
      </c>
      <c r="D20" s="8">
        <f t="shared" si="0"/>
        <v>-1008.7099999999919</v>
      </c>
    </row>
    <row r="21" spans="1:4" ht="12.75" customHeight="1">
      <c r="A21" s="9" t="s">
        <v>54</v>
      </c>
      <c r="B21" s="8">
        <v>101925.57</v>
      </c>
      <c r="C21" s="13">
        <v>91669.83</v>
      </c>
      <c r="D21" s="8">
        <f t="shared" si="0"/>
        <v>10255.740000000005</v>
      </c>
    </row>
    <row r="22" spans="1:4" ht="12.75" customHeight="1">
      <c r="A22" s="9" t="s">
        <v>55</v>
      </c>
      <c r="B22" s="8">
        <v>101925.57</v>
      </c>
      <c r="C22" s="13">
        <v>113607.09</v>
      </c>
      <c r="D22" s="13">
        <f t="shared" si="0"/>
        <v>-11681.51999999999</v>
      </c>
    </row>
    <row r="23" spans="1:4" ht="12.75" customHeight="1">
      <c r="A23" s="9" t="s">
        <v>56</v>
      </c>
      <c r="B23" s="8">
        <v>101925.57</v>
      </c>
      <c r="C23" s="13">
        <v>109313.7</v>
      </c>
      <c r="D23" s="13">
        <f t="shared" si="0"/>
        <v>-7388.12999999999</v>
      </c>
    </row>
    <row r="24" spans="1:4" ht="12.75" customHeight="1">
      <c r="A24" s="9" t="s">
        <v>57</v>
      </c>
      <c r="B24" s="8">
        <v>101925.57</v>
      </c>
      <c r="C24" s="13">
        <v>101932.35</v>
      </c>
      <c r="D24" s="13">
        <f t="shared" si="0"/>
        <v>-6.779999999998836</v>
      </c>
    </row>
    <row r="25" spans="1:4" ht="12.75" customHeight="1">
      <c r="A25" s="7" t="s">
        <v>58</v>
      </c>
      <c r="B25" s="8">
        <f>SUM(B26:B37)</f>
        <v>0</v>
      </c>
      <c r="C25" s="8">
        <f>SUM(C26:C37)</f>
        <v>0</v>
      </c>
      <c r="D25" s="8">
        <f>SUM(D26:D37)</f>
        <v>0</v>
      </c>
    </row>
    <row r="26" spans="1:4" ht="12.75" customHeight="1">
      <c r="A26" s="9" t="s">
        <v>59</v>
      </c>
      <c r="B26" s="8"/>
      <c r="C26" s="8"/>
      <c r="D26" s="8">
        <f aca="true" t="shared" si="1" ref="D26:D37">B26-C26</f>
        <v>0</v>
      </c>
    </row>
    <row r="27" spans="1:4" ht="12.75" customHeight="1">
      <c r="A27" s="9" t="s">
        <v>47</v>
      </c>
      <c r="B27" s="13"/>
      <c r="C27" s="13"/>
      <c r="D27" s="8">
        <f t="shared" si="1"/>
        <v>0</v>
      </c>
    </row>
    <row r="28" spans="1:4" ht="12.75" customHeight="1">
      <c r="A28" s="9" t="s">
        <v>48</v>
      </c>
      <c r="B28" s="13"/>
      <c r="C28" s="13"/>
      <c r="D28" s="8">
        <f t="shared" si="1"/>
        <v>0</v>
      </c>
    </row>
    <row r="29" spans="1:4" ht="12.75" customHeight="1">
      <c r="A29" s="9" t="s">
        <v>49</v>
      </c>
      <c r="B29" s="13"/>
      <c r="C29" s="13"/>
      <c r="D29" s="8">
        <f t="shared" si="1"/>
        <v>0</v>
      </c>
    </row>
    <row r="30" spans="1:4" ht="12.75" customHeight="1">
      <c r="A30" s="9" t="s">
        <v>50</v>
      </c>
      <c r="B30" s="13"/>
      <c r="C30" s="13"/>
      <c r="D30" s="8">
        <f t="shared" si="1"/>
        <v>0</v>
      </c>
    </row>
    <row r="31" spans="1:4" ht="12.75" customHeight="1">
      <c r="A31" s="9" t="s">
        <v>51</v>
      </c>
      <c r="B31" s="13"/>
      <c r="C31" s="13"/>
      <c r="D31" s="8">
        <f t="shared" si="1"/>
        <v>0</v>
      </c>
    </row>
    <row r="32" spans="1:4" ht="12.75" customHeight="1">
      <c r="A32" s="9" t="s">
        <v>52</v>
      </c>
      <c r="B32" s="13"/>
      <c r="C32" s="13"/>
      <c r="D32" s="8">
        <f t="shared" si="1"/>
        <v>0</v>
      </c>
    </row>
    <row r="33" spans="1:4" ht="12.75" customHeight="1">
      <c r="A33" s="9" t="s">
        <v>53</v>
      </c>
      <c r="B33" s="13"/>
      <c r="C33" s="13"/>
      <c r="D33" s="8">
        <f t="shared" si="1"/>
        <v>0</v>
      </c>
    </row>
    <row r="34" spans="1:4" ht="12.75" customHeight="1">
      <c r="A34" s="9" t="s">
        <v>54</v>
      </c>
      <c r="B34" s="13"/>
      <c r="C34" s="13"/>
      <c r="D34" s="8">
        <f t="shared" si="1"/>
        <v>0</v>
      </c>
    </row>
    <row r="35" spans="1:4" ht="12.75" customHeight="1">
      <c r="A35" s="9" t="s">
        <v>55</v>
      </c>
      <c r="B35" s="13"/>
      <c r="C35" s="13"/>
      <c r="D35" s="13">
        <f t="shared" si="1"/>
        <v>0</v>
      </c>
    </row>
    <row r="36" spans="1:4" ht="12.75" customHeight="1">
      <c r="A36" s="9" t="s">
        <v>56</v>
      </c>
      <c r="B36" s="13"/>
      <c r="C36" s="13"/>
      <c r="D36" s="13">
        <f t="shared" si="1"/>
        <v>0</v>
      </c>
    </row>
    <row r="37" spans="1:4" ht="12.75" customHeight="1">
      <c r="A37" s="9" t="s">
        <v>57</v>
      </c>
      <c r="B37" s="10"/>
      <c r="C37" s="10"/>
      <c r="D37" s="13">
        <f t="shared" si="1"/>
        <v>0</v>
      </c>
    </row>
    <row r="38" spans="1:4" ht="12.75" customHeight="1">
      <c r="A38" s="7"/>
      <c r="B38" s="13"/>
      <c r="C38" s="13"/>
      <c r="D38" s="13">
        <f>SUM(D39:D40)</f>
        <v>0</v>
      </c>
    </row>
    <row r="39" spans="1:4" ht="12.75" customHeight="1">
      <c r="A39" s="9"/>
      <c r="B39" s="13"/>
      <c r="C39" s="13"/>
      <c r="D39" s="13">
        <f>B39-C39</f>
        <v>0</v>
      </c>
    </row>
    <row r="40" spans="1:4" ht="12.75" customHeight="1">
      <c r="A40" s="9"/>
      <c r="B40" s="13"/>
      <c r="C40" s="13"/>
      <c r="D40" s="13">
        <f>B40-C40</f>
        <v>0</v>
      </c>
    </row>
    <row r="41" spans="1:4" ht="12.75">
      <c r="A41" s="9" t="s">
        <v>60</v>
      </c>
      <c r="B41" s="8">
        <f>B12+B25+B38</f>
        <v>1287961.0200000003</v>
      </c>
      <c r="C41" s="8">
        <f>C12+C25</f>
        <v>1283772.8</v>
      </c>
      <c r="D41" s="8">
        <f>D12+D25</f>
        <v>4188.2200000000885</v>
      </c>
    </row>
    <row r="43" spans="1:4" ht="12.75">
      <c r="A43" t="s">
        <v>61</v>
      </c>
      <c r="D43" s="12">
        <f>D41</f>
        <v>4188.2200000000885</v>
      </c>
    </row>
    <row r="45" spans="1:4" ht="12.75">
      <c r="A45" s="11" t="s">
        <v>62</v>
      </c>
      <c r="D45" s="12">
        <f>D46+D47</f>
        <v>79738.416</v>
      </c>
    </row>
    <row r="46" spans="1:4" ht="12.75">
      <c r="A46" s="11" t="s">
        <v>63</v>
      </c>
      <c r="D46" s="12">
        <f>(1.33*12*D4)</f>
        <v>67549.10399999999</v>
      </c>
    </row>
    <row r="47" spans="1:4" ht="12.75">
      <c r="A47" s="11" t="s">
        <v>64</v>
      </c>
      <c r="D47" s="12">
        <f>(0.24*12*D4)</f>
        <v>12189.311999999998</v>
      </c>
    </row>
    <row r="48" spans="1:4" ht="12.75">
      <c r="A48" s="11" t="s">
        <v>65</v>
      </c>
      <c r="D48" s="12">
        <v>0</v>
      </c>
    </row>
    <row r="49" spans="1:4" ht="12.75">
      <c r="A49" s="11" t="s">
        <v>109</v>
      </c>
      <c r="D49" s="12">
        <f>955.7*0.22*4+(955.7*2.5)</f>
        <v>3230.266</v>
      </c>
    </row>
    <row r="50" spans="1:4" ht="12.75">
      <c r="A50" s="11" t="s">
        <v>121</v>
      </c>
      <c r="D50" s="12">
        <f>(2.66*6*D4)</f>
        <v>67549.10399999999</v>
      </c>
    </row>
    <row r="51" spans="1:4" ht="12.75">
      <c r="A51" s="11" t="s">
        <v>66</v>
      </c>
      <c r="D51" s="12">
        <v>0</v>
      </c>
    </row>
    <row r="52" spans="1:4" ht="12.75">
      <c r="A52" s="11" t="s">
        <v>108</v>
      </c>
      <c r="D52" s="12">
        <f>(0.72*3*D4)</f>
        <v>9141.984</v>
      </c>
    </row>
    <row r="53" spans="1:4" ht="12.75">
      <c r="A53" s="11" t="s">
        <v>67</v>
      </c>
      <c r="D53" s="12">
        <f>(1.45*12*D4)</f>
        <v>73643.76</v>
      </c>
    </row>
    <row r="54" spans="1:4" ht="12.75">
      <c r="A54" s="11" t="s">
        <v>68</v>
      </c>
      <c r="D54" s="12">
        <f>(5.11*12*D4)</f>
        <v>259530.768</v>
      </c>
    </row>
    <row r="55" spans="1:4" ht="12.75">
      <c r="A55" s="11" t="s">
        <v>69</v>
      </c>
      <c r="D55" s="12">
        <f>(0.29*12*D4)</f>
        <v>14728.751999999997</v>
      </c>
    </row>
    <row r="56" spans="1:4" ht="12.75">
      <c r="A56" s="11" t="s">
        <v>110</v>
      </c>
      <c r="D56" s="12">
        <f>(3.87*12*D4)</f>
        <v>196552.65599999996</v>
      </c>
    </row>
    <row r="57" spans="1:4" ht="12.75">
      <c r="A57" s="11" t="s">
        <v>70</v>
      </c>
      <c r="D57" s="12">
        <f>2.25*12*D5</f>
        <v>1944</v>
      </c>
    </row>
    <row r="58" spans="1:4" ht="12.75">
      <c r="A58" s="11" t="s">
        <v>71</v>
      </c>
      <c r="D58" s="12">
        <v>379920</v>
      </c>
    </row>
    <row r="59" spans="1:4" ht="12.75">
      <c r="A59" s="11" t="s">
        <v>72</v>
      </c>
      <c r="D59" s="12">
        <f>(0.7*12*D4)</f>
        <v>35552.15999999999</v>
      </c>
    </row>
    <row r="60" spans="1:4" ht="12.75">
      <c r="A60" s="14" t="s">
        <v>96</v>
      </c>
      <c r="D60" s="12">
        <v>0</v>
      </c>
    </row>
    <row r="61" spans="1:4" ht="12.75">
      <c r="A61" s="11" t="s">
        <v>98</v>
      </c>
      <c r="D61" s="12">
        <f>(4.66*12*D4)</f>
        <v>236675.808</v>
      </c>
    </row>
    <row r="62" spans="1:4" ht="12.75">
      <c r="A62" s="11"/>
      <c r="D62" s="12"/>
    </row>
    <row r="63" spans="1:4" ht="12.75">
      <c r="A63" s="11" t="s">
        <v>73</v>
      </c>
      <c r="D63" s="12">
        <f>D45+D48+D50+D51+D53+D54+D55+D56+D57+D58+D59+D60+D61-D60+D49+D52</f>
        <v>1358207.6739999996</v>
      </c>
    </row>
    <row r="64" spans="1:4" ht="12.75">
      <c r="A64" s="11"/>
      <c r="D64" s="12"/>
    </row>
    <row r="65" spans="1:4" ht="12.75">
      <c r="A65" t="s">
        <v>100</v>
      </c>
      <c r="D65" s="12">
        <f>C41-D63</f>
        <v>-74434.8739999996</v>
      </c>
    </row>
    <row r="67" spans="1:2" ht="12.75" hidden="1">
      <c r="A67">
        <v>17030</v>
      </c>
      <c r="B67" t="s">
        <v>126</v>
      </c>
    </row>
    <row r="68" spans="1:2" ht="12.75" hidden="1">
      <c r="A68">
        <v>1963</v>
      </c>
      <c r="B68" t="s">
        <v>126</v>
      </c>
    </row>
    <row r="69" spans="1:2" ht="12.75" hidden="1">
      <c r="A69">
        <v>3647</v>
      </c>
      <c r="B69" t="s">
        <v>27</v>
      </c>
    </row>
    <row r="70" spans="1:2" ht="12.75" hidden="1">
      <c r="A70">
        <v>9172</v>
      </c>
      <c r="B70" t="s">
        <v>185</v>
      </c>
    </row>
    <row r="71" spans="1:2" ht="12.75" hidden="1">
      <c r="A71">
        <v>21314</v>
      </c>
      <c r="B71" t="s">
        <v>196</v>
      </c>
    </row>
    <row r="72" spans="1:2" ht="12.75" hidden="1">
      <c r="A72">
        <v>1454</v>
      </c>
      <c r="B72" t="s">
        <v>16</v>
      </c>
    </row>
    <row r="73" spans="1:2" ht="12.75" hidden="1">
      <c r="A73">
        <v>10231</v>
      </c>
      <c r="B73" t="s">
        <v>199</v>
      </c>
    </row>
    <row r="74" spans="1:2" ht="12.75" hidden="1">
      <c r="A74">
        <v>50586</v>
      </c>
      <c r="B74" t="s">
        <v>200</v>
      </c>
    </row>
    <row r="75" spans="1:2" ht="12.75" hidden="1">
      <c r="A75">
        <v>2037</v>
      </c>
      <c r="B75" t="s">
        <v>200</v>
      </c>
    </row>
    <row r="76" spans="1:2" ht="12.75" hidden="1">
      <c r="A76">
        <v>23826</v>
      </c>
      <c r="B76" t="s">
        <v>200</v>
      </c>
    </row>
    <row r="77" spans="1:2" ht="12.75" hidden="1">
      <c r="A77">
        <v>1362</v>
      </c>
      <c r="B77" t="s">
        <v>208</v>
      </c>
    </row>
    <row r="78" spans="1:2" ht="12.75" hidden="1">
      <c r="A78">
        <v>120052</v>
      </c>
      <c r="B78" t="s">
        <v>137</v>
      </c>
    </row>
    <row r="79" spans="1:2" ht="12.75" hidden="1">
      <c r="A79">
        <v>112426</v>
      </c>
      <c r="B79" t="s">
        <v>137</v>
      </c>
    </row>
    <row r="80" spans="1:2" ht="12.75" hidden="1">
      <c r="A80">
        <v>3744</v>
      </c>
      <c r="B80" t="s">
        <v>149</v>
      </c>
    </row>
    <row r="81" spans="1:2" ht="12.75" hidden="1">
      <c r="A81">
        <v>1076</v>
      </c>
      <c r="B81" t="s">
        <v>119</v>
      </c>
    </row>
    <row r="82" ht="12.75" hidden="1">
      <c r="A82">
        <f>SUM(A67:A81)</f>
        <v>379920</v>
      </c>
    </row>
    <row r="83" ht="12.75" hidden="1"/>
    <row r="84" ht="12.75" hidden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G83"/>
  <sheetViews>
    <sheetView zoomScalePageLayoutView="0" workbookViewId="0" topLeftCell="A31">
      <selection activeCell="A64" sqref="A64:IV83"/>
    </sheetView>
  </sheetViews>
  <sheetFormatPr defaultColWidth="9.140625" defaultRowHeight="12.75"/>
  <cols>
    <col min="2" max="3" width="12.421875" style="0" bestFit="1" customWidth="1"/>
    <col min="4" max="4" width="12.28125" style="0" bestFit="1" customWidth="1"/>
  </cols>
  <sheetData>
    <row r="1" ht="12.75">
      <c r="A1" t="s">
        <v>7</v>
      </c>
    </row>
    <row r="3" spans="1:7" ht="12.75">
      <c r="A3" s="1" t="s">
        <v>34</v>
      </c>
      <c r="B3" s="2" t="s">
        <v>35</v>
      </c>
      <c r="C3" s="1" t="s">
        <v>82</v>
      </c>
      <c r="D3" s="1"/>
      <c r="E3" s="1" t="s">
        <v>36</v>
      </c>
      <c r="F3" s="15" t="s">
        <v>104</v>
      </c>
      <c r="G3" s="21">
        <v>2018</v>
      </c>
    </row>
    <row r="5" spans="1:5" ht="12.75">
      <c r="A5" t="s">
        <v>37</v>
      </c>
      <c r="D5" s="4">
        <v>2800.7</v>
      </c>
      <c r="E5" s="5" t="s">
        <v>74</v>
      </c>
    </row>
    <row r="6" spans="1:5" ht="12.75">
      <c r="A6" t="s">
        <v>38</v>
      </c>
      <c r="D6" s="4">
        <v>60</v>
      </c>
      <c r="E6" s="5"/>
    </row>
    <row r="7" spans="1:5" ht="12.75">
      <c r="A7" t="s">
        <v>39</v>
      </c>
      <c r="D7" s="4">
        <v>131</v>
      </c>
      <c r="E7" s="5" t="s">
        <v>40</v>
      </c>
    </row>
    <row r="8" spans="1:5" ht="12.75">
      <c r="A8" t="s">
        <v>41</v>
      </c>
      <c r="D8" s="4">
        <v>303</v>
      </c>
      <c r="E8" s="5" t="s">
        <v>74</v>
      </c>
    </row>
    <row r="9" spans="1:5" ht="12.75">
      <c r="A9" t="s">
        <v>42</v>
      </c>
      <c r="D9" s="4">
        <v>1407</v>
      </c>
      <c r="E9" s="5" t="s">
        <v>74</v>
      </c>
    </row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729409.7399999999</v>
      </c>
      <c r="C13" s="8">
        <f>SUM(C14:C25)</f>
        <v>736661.4599999998</v>
      </c>
      <c r="D13" s="8">
        <f>SUM(D14:D25)</f>
        <v>-7251.719999999979</v>
      </c>
    </row>
    <row r="14" spans="1:4" ht="12.75">
      <c r="A14" s="9" t="s">
        <v>59</v>
      </c>
      <c r="B14" s="8">
        <v>64433.71</v>
      </c>
      <c r="C14" s="8">
        <v>63476.7</v>
      </c>
      <c r="D14" s="8">
        <f aca="true" t="shared" si="0" ref="D14:D21">B14-C14</f>
        <v>957.010000000002</v>
      </c>
    </row>
    <row r="15" spans="1:4" ht="12.75">
      <c r="A15" s="9" t="s">
        <v>47</v>
      </c>
      <c r="B15" s="8">
        <v>64433.71</v>
      </c>
      <c r="C15" s="13">
        <v>57752.53</v>
      </c>
      <c r="D15" s="8">
        <f t="shared" si="0"/>
        <v>6681.18</v>
      </c>
    </row>
    <row r="16" spans="1:4" ht="12.75">
      <c r="A16" s="9" t="s">
        <v>48</v>
      </c>
      <c r="B16" s="8">
        <v>64433.71</v>
      </c>
      <c r="C16" s="13">
        <v>65402.46</v>
      </c>
      <c r="D16" s="8">
        <f t="shared" si="0"/>
        <v>-968.75</v>
      </c>
    </row>
    <row r="17" spans="1:4" ht="12.75">
      <c r="A17" s="9" t="s">
        <v>49</v>
      </c>
      <c r="B17" s="8">
        <v>64433.71</v>
      </c>
      <c r="C17" s="13">
        <v>64161.61</v>
      </c>
      <c r="D17" s="8">
        <f t="shared" si="0"/>
        <v>272.09999999999854</v>
      </c>
    </row>
    <row r="18" spans="1:4" ht="12.75">
      <c r="A18" s="9" t="s">
        <v>50</v>
      </c>
      <c r="B18" s="8">
        <v>64433.71</v>
      </c>
      <c r="C18" s="13">
        <v>61581.48</v>
      </c>
      <c r="D18" s="8">
        <f t="shared" si="0"/>
        <v>2852.229999999996</v>
      </c>
    </row>
    <row r="19" spans="1:4" ht="12.75">
      <c r="A19" s="9" t="s">
        <v>51</v>
      </c>
      <c r="B19" s="8">
        <v>64433.71</v>
      </c>
      <c r="C19" s="13">
        <v>68407.03</v>
      </c>
      <c r="D19" s="8">
        <f t="shared" si="0"/>
        <v>-3973.3199999999997</v>
      </c>
    </row>
    <row r="20" spans="1:4" ht="12.75">
      <c r="A20" s="9" t="s">
        <v>52</v>
      </c>
      <c r="B20" s="8">
        <v>57134.58</v>
      </c>
      <c r="C20" s="13">
        <v>57467.84</v>
      </c>
      <c r="D20" s="8">
        <f t="shared" si="0"/>
        <v>-333.25999999999476</v>
      </c>
    </row>
    <row r="21" spans="1:4" ht="12.75">
      <c r="A21" s="9" t="s">
        <v>53</v>
      </c>
      <c r="B21" s="8">
        <v>57134.58</v>
      </c>
      <c r="C21" s="13">
        <v>63886.34</v>
      </c>
      <c r="D21" s="8">
        <f t="shared" si="0"/>
        <v>-6751.759999999995</v>
      </c>
    </row>
    <row r="22" spans="1:4" ht="12.75">
      <c r="A22" s="9" t="s">
        <v>54</v>
      </c>
      <c r="B22" s="8">
        <v>57134.58</v>
      </c>
      <c r="C22" s="13">
        <v>63788.83</v>
      </c>
      <c r="D22" s="8">
        <f>B22-C22</f>
        <v>-6654.25</v>
      </c>
    </row>
    <row r="23" spans="1:4" ht="12.75">
      <c r="A23" s="9" t="s">
        <v>55</v>
      </c>
      <c r="B23" s="8">
        <v>57134.58</v>
      </c>
      <c r="C23" s="13">
        <v>56536.88</v>
      </c>
      <c r="D23" s="13">
        <f>B23-C23</f>
        <v>597.7000000000044</v>
      </c>
    </row>
    <row r="24" spans="1:4" ht="12.75">
      <c r="A24" s="9" t="s">
        <v>56</v>
      </c>
      <c r="B24" s="8">
        <v>57134.58</v>
      </c>
      <c r="C24" s="13">
        <v>54741.49</v>
      </c>
      <c r="D24" s="13">
        <f>B24-C24</f>
        <v>2393.090000000004</v>
      </c>
    </row>
    <row r="25" spans="1:4" ht="12.75">
      <c r="A25" s="9" t="s">
        <v>57</v>
      </c>
      <c r="B25" s="8">
        <v>57134.58</v>
      </c>
      <c r="C25" s="13">
        <v>59458.27</v>
      </c>
      <c r="D25" s="13">
        <f>B25-C25</f>
        <v>-2323.689999999995</v>
      </c>
    </row>
    <row r="26" spans="1:4" ht="12.75">
      <c r="A26" s="7" t="s">
        <v>58</v>
      </c>
      <c r="B26" s="8">
        <f>SUM(B27:B38)</f>
        <v>79.80000000000001</v>
      </c>
      <c r="C26" s="8">
        <f>SUM(C27:C38)</f>
        <v>82.08</v>
      </c>
      <c r="D26" s="8">
        <f>SUM(D27:D38)</f>
        <v>-2.2799999999999967</v>
      </c>
    </row>
    <row r="27" spans="1:4" ht="12.75">
      <c r="A27" s="9" t="s">
        <v>59</v>
      </c>
      <c r="B27" s="8">
        <v>6.65</v>
      </c>
      <c r="C27" s="8">
        <v>9.11</v>
      </c>
      <c r="D27" s="8">
        <f aca="true" t="shared" si="1" ref="D27:D38">B27-C27</f>
        <v>-2.459999999999999</v>
      </c>
    </row>
    <row r="28" spans="1:4" ht="12.75">
      <c r="A28" s="9" t="s">
        <v>47</v>
      </c>
      <c r="B28" s="8">
        <v>6.65</v>
      </c>
      <c r="C28" s="8">
        <v>2.55</v>
      </c>
      <c r="D28" s="8">
        <f t="shared" si="1"/>
        <v>4.1000000000000005</v>
      </c>
    </row>
    <row r="29" spans="1:4" ht="12.75">
      <c r="A29" s="9" t="s">
        <v>48</v>
      </c>
      <c r="B29" s="8">
        <v>6.65</v>
      </c>
      <c r="C29" s="8">
        <v>10.69</v>
      </c>
      <c r="D29" s="8">
        <f t="shared" si="1"/>
        <v>-4.039999999999999</v>
      </c>
    </row>
    <row r="30" spans="1:4" ht="12.75">
      <c r="A30" s="9" t="s">
        <v>49</v>
      </c>
      <c r="B30" s="8">
        <v>6.65</v>
      </c>
      <c r="C30" s="13">
        <v>6.66</v>
      </c>
      <c r="D30" s="8">
        <f t="shared" si="1"/>
        <v>-0.009999999999999787</v>
      </c>
    </row>
    <row r="31" spans="1:4" ht="12.75">
      <c r="A31" s="9" t="s">
        <v>50</v>
      </c>
      <c r="B31" s="8">
        <v>6.65</v>
      </c>
      <c r="C31" s="8">
        <v>2.57</v>
      </c>
      <c r="D31" s="8">
        <f t="shared" si="1"/>
        <v>4.08</v>
      </c>
    </row>
    <row r="32" spans="1:4" ht="12.75">
      <c r="A32" s="9" t="s">
        <v>51</v>
      </c>
      <c r="B32" s="8">
        <v>6.65</v>
      </c>
      <c r="C32" s="8">
        <v>10.73</v>
      </c>
      <c r="D32" s="8">
        <f t="shared" si="1"/>
        <v>-4.08</v>
      </c>
    </row>
    <row r="33" spans="1:4" ht="12.75">
      <c r="A33" s="9" t="s">
        <v>52</v>
      </c>
      <c r="B33" s="8">
        <v>6.65</v>
      </c>
      <c r="C33" s="13">
        <v>2.47</v>
      </c>
      <c r="D33" s="8">
        <f t="shared" si="1"/>
        <v>4.18</v>
      </c>
    </row>
    <row r="34" spans="1:4" ht="12.75">
      <c r="A34" s="9" t="s">
        <v>53</v>
      </c>
      <c r="B34" s="8">
        <v>6.65</v>
      </c>
      <c r="C34" s="13">
        <v>6.6</v>
      </c>
      <c r="D34" s="8">
        <f t="shared" si="1"/>
        <v>0.05000000000000071</v>
      </c>
    </row>
    <row r="35" spans="1:4" ht="12.75">
      <c r="A35" s="9" t="s">
        <v>54</v>
      </c>
      <c r="B35" s="8">
        <v>6.65</v>
      </c>
      <c r="C35" s="13">
        <v>10.74</v>
      </c>
      <c r="D35" s="8">
        <f t="shared" si="1"/>
        <v>-4.09</v>
      </c>
    </row>
    <row r="36" spans="1:4" ht="12.75">
      <c r="A36" s="9" t="s">
        <v>55</v>
      </c>
      <c r="B36" s="8">
        <v>6.65</v>
      </c>
      <c r="C36" s="13">
        <v>2.57</v>
      </c>
      <c r="D36" s="13">
        <f t="shared" si="1"/>
        <v>4.08</v>
      </c>
    </row>
    <row r="37" spans="1:4" ht="12.75">
      <c r="A37" s="9" t="s">
        <v>56</v>
      </c>
      <c r="B37" s="8">
        <v>6.65</v>
      </c>
      <c r="C37" s="13">
        <v>6.65</v>
      </c>
      <c r="D37" s="13">
        <f t="shared" si="1"/>
        <v>0</v>
      </c>
    </row>
    <row r="38" spans="1:4" ht="12.75">
      <c r="A38" s="9" t="s">
        <v>57</v>
      </c>
      <c r="B38" s="8">
        <v>6.65</v>
      </c>
      <c r="C38" s="13">
        <v>10.74</v>
      </c>
      <c r="D38" s="13">
        <f t="shared" si="1"/>
        <v>-4.09</v>
      </c>
    </row>
    <row r="39" spans="1:4" ht="12.75">
      <c r="A39" s="9" t="s">
        <v>60</v>
      </c>
      <c r="B39" s="8">
        <f>B13+B26</f>
        <v>729489.5399999999</v>
      </c>
      <c r="C39" s="8">
        <f>C13+C26</f>
        <v>736743.5399999998</v>
      </c>
      <c r="D39" s="8">
        <f>D13+D26</f>
        <v>-7253.999999999979</v>
      </c>
    </row>
    <row r="41" spans="1:4" ht="12.75">
      <c r="A41" t="s">
        <v>61</v>
      </c>
      <c r="D41" s="12">
        <f>D39</f>
        <v>-7253.999999999979</v>
      </c>
    </row>
    <row r="43" spans="1:4" ht="12.75">
      <c r="A43" s="11" t="s">
        <v>62</v>
      </c>
      <c r="D43" s="12">
        <f>D44+D45</f>
        <v>52765.187999999995</v>
      </c>
    </row>
    <row r="44" spans="1:4" ht="12.75">
      <c r="A44" s="11" t="s">
        <v>63</v>
      </c>
      <c r="D44" s="12">
        <f>(1.33*12*D5)</f>
        <v>44699.172</v>
      </c>
    </row>
    <row r="45" spans="1:4" ht="12.75">
      <c r="A45" s="11" t="s">
        <v>64</v>
      </c>
      <c r="D45" s="12">
        <f>(0.24*12*D5)</f>
        <v>8066.016</v>
      </c>
    </row>
    <row r="46" spans="1:4" ht="12.75">
      <c r="A46" s="11" t="s">
        <v>65</v>
      </c>
      <c r="D46" s="12">
        <v>0</v>
      </c>
    </row>
    <row r="47" spans="1:4" ht="12.75">
      <c r="A47" s="11" t="s">
        <v>109</v>
      </c>
      <c r="D47" s="12">
        <f>1137.3*0.22*4+(1137.3*2.5)</f>
        <v>3844.074</v>
      </c>
    </row>
    <row r="48" spans="1:4" ht="12.75">
      <c r="A48" s="11" t="s">
        <v>121</v>
      </c>
      <c r="D48" s="12">
        <f>(2.66*6*D5)</f>
        <v>44699.172</v>
      </c>
    </row>
    <row r="49" spans="1:4" ht="12.75">
      <c r="A49" s="11" t="s">
        <v>66</v>
      </c>
      <c r="D49" s="12">
        <v>0</v>
      </c>
    </row>
    <row r="50" spans="1:4" ht="12.75">
      <c r="A50" s="11" t="s">
        <v>108</v>
      </c>
      <c r="D50" s="12">
        <f>(0.72*3*D5)</f>
        <v>6049.512</v>
      </c>
    </row>
    <row r="51" spans="1:4" ht="12.75">
      <c r="A51" s="11" t="s">
        <v>67</v>
      </c>
      <c r="D51" s="12">
        <f>(1.45*12*D5)</f>
        <v>48732.17999999999</v>
      </c>
    </row>
    <row r="52" spans="1:4" ht="12.75">
      <c r="A52" s="11" t="s">
        <v>68</v>
      </c>
      <c r="D52" s="12">
        <f>(5.11*12*D5)</f>
        <v>171738.924</v>
      </c>
    </row>
    <row r="53" spans="1:4" ht="12.75">
      <c r="A53" s="11" t="s">
        <v>69</v>
      </c>
      <c r="D53" s="12">
        <f>(0.29*12*D5)</f>
        <v>9746.435999999998</v>
      </c>
    </row>
    <row r="54" spans="1:4" ht="12.75">
      <c r="A54" s="11" t="s">
        <v>110</v>
      </c>
      <c r="D54" s="12">
        <f>(3.87*12*D5)</f>
        <v>130064.50799999999</v>
      </c>
    </row>
    <row r="55" spans="1:4" ht="12.75">
      <c r="A55" s="11" t="s">
        <v>70</v>
      </c>
      <c r="D55" s="12">
        <f>2.25*12*D6</f>
        <v>1620</v>
      </c>
    </row>
    <row r="56" spans="1:4" ht="12.75">
      <c r="A56" s="11" t="s">
        <v>71</v>
      </c>
      <c r="D56" s="12">
        <v>227228</v>
      </c>
    </row>
    <row r="57" spans="1:4" ht="12.75">
      <c r="A57" s="11" t="s">
        <v>72</v>
      </c>
      <c r="D57" s="12">
        <f>(0.91*12*D5)</f>
        <v>30583.643999999997</v>
      </c>
    </row>
    <row r="58" spans="1:4" ht="12.75">
      <c r="A58" s="14" t="s">
        <v>96</v>
      </c>
      <c r="D58" s="12">
        <v>0</v>
      </c>
    </row>
    <row r="59" spans="1:4" ht="12.75">
      <c r="A59" s="11"/>
      <c r="D59" s="12"/>
    </row>
    <row r="60" spans="1:4" ht="12.75">
      <c r="A60" s="11" t="s">
        <v>73</v>
      </c>
      <c r="D60" s="12">
        <f>D43+D46+D47+D48+D49+D50+D51+D52+D53+D54+D55+D56+D57</f>
        <v>727071.6379999999</v>
      </c>
    </row>
    <row r="61" spans="1:4" ht="12.75">
      <c r="A61" s="11"/>
      <c r="D61" s="12"/>
    </row>
    <row r="62" spans="1:4" ht="12.75">
      <c r="A62" t="s">
        <v>99</v>
      </c>
      <c r="D62" s="12">
        <f>C39-D60</f>
        <v>9671.901999999885</v>
      </c>
    </row>
    <row r="64" spans="1:2" ht="12.75" hidden="1">
      <c r="A64">
        <v>1704</v>
      </c>
      <c r="B64" t="s">
        <v>127</v>
      </c>
    </row>
    <row r="65" spans="1:2" ht="12.75" hidden="1">
      <c r="A65">
        <v>128562</v>
      </c>
      <c r="B65" t="s">
        <v>167</v>
      </c>
    </row>
    <row r="66" spans="1:2" ht="12.75" hidden="1">
      <c r="A66">
        <v>1856</v>
      </c>
      <c r="B66" t="s">
        <v>27</v>
      </c>
    </row>
    <row r="67" spans="1:2" ht="12.75" hidden="1">
      <c r="A67">
        <v>3951</v>
      </c>
      <c r="B67" t="s">
        <v>119</v>
      </c>
    </row>
    <row r="68" spans="1:2" ht="12.75" hidden="1">
      <c r="A68">
        <v>4290</v>
      </c>
      <c r="B68" t="s">
        <v>126</v>
      </c>
    </row>
    <row r="69" spans="1:2" ht="12.75" hidden="1">
      <c r="A69">
        <v>29822</v>
      </c>
      <c r="B69" t="s">
        <v>182</v>
      </c>
    </row>
    <row r="70" spans="1:2" ht="12.75" hidden="1">
      <c r="A70">
        <v>2271</v>
      </c>
      <c r="B70" t="s">
        <v>119</v>
      </c>
    </row>
    <row r="71" spans="1:2" ht="12.75" hidden="1">
      <c r="A71">
        <v>953</v>
      </c>
      <c r="B71" t="s">
        <v>207</v>
      </c>
    </row>
    <row r="72" spans="1:2" ht="12.75" hidden="1">
      <c r="A72">
        <v>1510</v>
      </c>
      <c r="B72" t="s">
        <v>16</v>
      </c>
    </row>
    <row r="73" spans="1:2" ht="12.75" hidden="1">
      <c r="A73">
        <v>2100</v>
      </c>
      <c r="B73" t="s">
        <v>119</v>
      </c>
    </row>
    <row r="74" spans="1:2" ht="12.75" hidden="1">
      <c r="A74">
        <v>4200</v>
      </c>
      <c r="B74" t="s">
        <v>119</v>
      </c>
    </row>
    <row r="75" spans="1:2" ht="12.75" hidden="1">
      <c r="A75">
        <v>25196</v>
      </c>
      <c r="B75" t="s">
        <v>210</v>
      </c>
    </row>
    <row r="76" spans="1:2" ht="12.75" hidden="1">
      <c r="A76">
        <v>2557</v>
      </c>
      <c r="B76" t="s">
        <v>174</v>
      </c>
    </row>
    <row r="77" spans="1:2" ht="12.75" hidden="1">
      <c r="A77">
        <v>1912</v>
      </c>
      <c r="B77" t="s">
        <v>24</v>
      </c>
    </row>
    <row r="78" spans="1:2" ht="12.75" hidden="1">
      <c r="A78">
        <v>1946</v>
      </c>
      <c r="B78" t="s">
        <v>119</v>
      </c>
    </row>
    <row r="79" spans="1:2" ht="12.75" hidden="1">
      <c r="A79">
        <v>4857</v>
      </c>
      <c r="B79" t="s">
        <v>133</v>
      </c>
    </row>
    <row r="80" spans="1:2" ht="12.75" hidden="1">
      <c r="A80">
        <v>5613</v>
      </c>
      <c r="B80" t="s">
        <v>20</v>
      </c>
    </row>
    <row r="81" spans="1:2" ht="12.75" hidden="1">
      <c r="A81">
        <v>2466</v>
      </c>
      <c r="B81" t="s">
        <v>112</v>
      </c>
    </row>
    <row r="82" spans="1:2" ht="12.75" hidden="1">
      <c r="A82">
        <v>1462</v>
      </c>
      <c r="B82" t="s">
        <v>119</v>
      </c>
    </row>
    <row r="83" ht="12.75" hidden="1">
      <c r="A83">
        <f>SUM(A64:A82)</f>
        <v>227228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G78"/>
  <sheetViews>
    <sheetView zoomScalePageLayoutView="0" workbookViewId="0" topLeftCell="A34">
      <selection activeCell="F87" sqref="F87"/>
    </sheetView>
  </sheetViews>
  <sheetFormatPr defaultColWidth="9.140625" defaultRowHeight="12.75"/>
  <cols>
    <col min="2" max="3" width="14.140625" style="0" bestFit="1" customWidth="1"/>
    <col min="4" max="4" width="14.00390625" style="0" bestFit="1" customWidth="1"/>
  </cols>
  <sheetData>
    <row r="1" ht="12.75">
      <c r="A1" t="s">
        <v>7</v>
      </c>
    </row>
    <row r="2" spans="1:7" ht="12.75">
      <c r="A2" s="1" t="s">
        <v>34</v>
      </c>
      <c r="B2" s="2" t="s">
        <v>35</v>
      </c>
      <c r="C2" s="1" t="s">
        <v>82</v>
      </c>
      <c r="D2" s="1"/>
      <c r="E2" s="1" t="s">
        <v>36</v>
      </c>
      <c r="F2" s="3">
        <v>32</v>
      </c>
      <c r="G2" s="21">
        <v>2018</v>
      </c>
    </row>
    <row r="4" spans="1:5" ht="12.75">
      <c r="A4" t="s">
        <v>37</v>
      </c>
      <c r="D4" s="4">
        <v>6779.1</v>
      </c>
      <c r="E4" s="5" t="s">
        <v>74</v>
      </c>
    </row>
    <row r="5" spans="1:5" ht="12.75">
      <c r="A5" t="s">
        <v>38</v>
      </c>
      <c r="D5" s="4">
        <v>119</v>
      </c>
      <c r="E5" s="5"/>
    </row>
    <row r="6" spans="1:5" ht="12.75">
      <c r="A6" t="s">
        <v>39</v>
      </c>
      <c r="D6" s="4">
        <v>266</v>
      </c>
      <c r="E6" s="5" t="s">
        <v>40</v>
      </c>
    </row>
    <row r="7" spans="1:5" ht="12.75">
      <c r="A7" t="s">
        <v>41</v>
      </c>
      <c r="C7" t="s">
        <v>101</v>
      </c>
      <c r="D7" s="4">
        <v>1124</v>
      </c>
      <c r="E7" s="5" t="s">
        <v>74</v>
      </c>
    </row>
    <row r="8" spans="1:5" ht="12.75">
      <c r="A8" t="s">
        <v>42</v>
      </c>
      <c r="D8" s="4">
        <v>6351</v>
      </c>
      <c r="E8" s="5" t="s">
        <v>74</v>
      </c>
    </row>
    <row r="11" spans="2:4" ht="12.75">
      <c r="B11" s="6" t="s">
        <v>43</v>
      </c>
      <c r="C11" s="6" t="s">
        <v>44</v>
      </c>
      <c r="D11" s="6" t="s">
        <v>45</v>
      </c>
    </row>
    <row r="12" spans="1:4" ht="12.75">
      <c r="A12" s="7" t="s">
        <v>46</v>
      </c>
      <c r="B12" s="8">
        <f>SUM(B13:B24)</f>
        <v>2171702.5</v>
      </c>
      <c r="C12" s="8">
        <f>SUM(C13:C24)</f>
        <v>2119760.25</v>
      </c>
      <c r="D12" s="8">
        <f>SUM(D13:D24)</f>
        <v>51942.25000000003</v>
      </c>
    </row>
    <row r="13" spans="1:4" ht="12.75">
      <c r="A13" s="9" t="s">
        <v>59</v>
      </c>
      <c r="B13" s="8">
        <v>184557.48</v>
      </c>
      <c r="C13" s="8">
        <v>174589.58</v>
      </c>
      <c r="D13" s="8">
        <f aca="true" t="shared" si="0" ref="D13:D24">B13-C13</f>
        <v>9967.900000000023</v>
      </c>
    </row>
    <row r="14" spans="1:4" ht="12.75">
      <c r="A14" s="9" t="s">
        <v>47</v>
      </c>
      <c r="B14" s="8">
        <v>184557.48</v>
      </c>
      <c r="C14" s="13">
        <v>159161.84</v>
      </c>
      <c r="D14" s="8">
        <f t="shared" si="0"/>
        <v>25395.640000000014</v>
      </c>
    </row>
    <row r="15" spans="1:4" ht="12.75">
      <c r="A15" s="9" t="s">
        <v>48</v>
      </c>
      <c r="B15" s="8">
        <v>184557.48</v>
      </c>
      <c r="C15" s="13">
        <v>181021.41</v>
      </c>
      <c r="D15" s="8">
        <f t="shared" si="0"/>
        <v>3536.070000000007</v>
      </c>
    </row>
    <row r="16" spans="1:4" ht="12.75">
      <c r="A16" s="9" t="s">
        <v>49</v>
      </c>
      <c r="B16" s="8">
        <v>184557.48</v>
      </c>
      <c r="C16" s="13">
        <v>165854.53</v>
      </c>
      <c r="D16" s="8">
        <f t="shared" si="0"/>
        <v>18702.95000000001</v>
      </c>
    </row>
    <row r="17" spans="1:4" ht="12.75">
      <c r="A17" s="9" t="s">
        <v>50</v>
      </c>
      <c r="B17" s="8">
        <v>184557.48</v>
      </c>
      <c r="C17" s="13">
        <v>190610.89</v>
      </c>
      <c r="D17" s="8">
        <f t="shared" si="0"/>
        <v>-6053.4100000000035</v>
      </c>
    </row>
    <row r="18" spans="1:4" ht="12.75">
      <c r="A18" s="9" t="s">
        <v>51</v>
      </c>
      <c r="B18" s="8">
        <v>184557.48</v>
      </c>
      <c r="C18" s="13">
        <v>175535.77</v>
      </c>
      <c r="D18" s="8">
        <f t="shared" si="0"/>
        <v>9021.710000000021</v>
      </c>
    </row>
    <row r="19" spans="1:4" ht="12.75">
      <c r="A19" s="9" t="s">
        <v>52</v>
      </c>
      <c r="B19" s="8">
        <v>167132.09</v>
      </c>
      <c r="C19" s="13">
        <v>166845.28</v>
      </c>
      <c r="D19" s="8">
        <f t="shared" si="0"/>
        <v>286.8099999999977</v>
      </c>
    </row>
    <row r="20" spans="1:4" ht="12.75">
      <c r="A20" s="9" t="s">
        <v>53</v>
      </c>
      <c r="B20" s="8">
        <v>167132.09</v>
      </c>
      <c r="C20" s="13">
        <v>173110.08</v>
      </c>
      <c r="D20" s="8">
        <f t="shared" si="0"/>
        <v>-5977.989999999991</v>
      </c>
    </row>
    <row r="21" spans="1:4" ht="12.75">
      <c r="A21" s="9" t="s">
        <v>54</v>
      </c>
      <c r="B21" s="8">
        <v>182523.36</v>
      </c>
      <c r="C21" s="13">
        <v>172583.96</v>
      </c>
      <c r="D21" s="8">
        <f t="shared" si="0"/>
        <v>9939.399999999994</v>
      </c>
    </row>
    <row r="22" spans="1:4" ht="12.75">
      <c r="A22" s="9" t="s">
        <v>55</v>
      </c>
      <c r="B22" s="8">
        <v>182523.36</v>
      </c>
      <c r="C22" s="13">
        <v>195643.8</v>
      </c>
      <c r="D22" s="13">
        <f t="shared" si="0"/>
        <v>-13120.440000000002</v>
      </c>
    </row>
    <row r="23" spans="1:4" ht="12.75">
      <c r="A23" s="9" t="s">
        <v>56</v>
      </c>
      <c r="B23" s="8">
        <v>182523.36</v>
      </c>
      <c r="C23" s="13">
        <v>167537.73</v>
      </c>
      <c r="D23" s="13">
        <f t="shared" si="0"/>
        <v>14985.629999999976</v>
      </c>
    </row>
    <row r="24" spans="1:4" ht="12.75">
      <c r="A24" s="9" t="s">
        <v>57</v>
      </c>
      <c r="B24" s="8">
        <v>182523.36</v>
      </c>
      <c r="C24" s="13">
        <v>197265.38</v>
      </c>
      <c r="D24" s="13">
        <f t="shared" si="0"/>
        <v>-14742.020000000019</v>
      </c>
    </row>
    <row r="25" spans="1:4" ht="12.75">
      <c r="A25" s="7" t="s">
        <v>58</v>
      </c>
      <c r="B25" s="8">
        <f>SUM(B26:B37)</f>
        <v>159</v>
      </c>
      <c r="C25" s="8">
        <f>SUM(C26:C37)</f>
        <v>147.46</v>
      </c>
      <c r="D25" s="8">
        <f>SUM(D26:D37)</f>
        <v>11.54</v>
      </c>
    </row>
    <row r="26" spans="1:4" ht="12.75">
      <c r="A26" s="9" t="s">
        <v>59</v>
      </c>
      <c r="B26" s="8">
        <v>13.25</v>
      </c>
      <c r="C26" s="8">
        <v>4.43</v>
      </c>
      <c r="D26" s="8">
        <f aca="true" t="shared" si="1" ref="D26:D37">B26-C26</f>
        <v>8.82</v>
      </c>
    </row>
    <row r="27" spans="1:4" ht="12.75">
      <c r="A27" s="9" t="s">
        <v>47</v>
      </c>
      <c r="B27" s="8">
        <v>13.25</v>
      </c>
      <c r="C27" s="13">
        <v>9.03</v>
      </c>
      <c r="D27" s="8">
        <f t="shared" si="1"/>
        <v>4.220000000000001</v>
      </c>
    </row>
    <row r="28" spans="1:4" ht="12.75">
      <c r="A28" s="9" t="s">
        <v>48</v>
      </c>
      <c r="B28" s="8">
        <v>13.25</v>
      </c>
      <c r="C28" s="13">
        <v>21.98</v>
      </c>
      <c r="D28" s="8">
        <f t="shared" si="1"/>
        <v>-8.73</v>
      </c>
    </row>
    <row r="29" spans="1:4" ht="12.75">
      <c r="A29" s="9" t="s">
        <v>49</v>
      </c>
      <c r="B29" s="8">
        <v>13.25</v>
      </c>
      <c r="C29" s="13">
        <v>8.99</v>
      </c>
      <c r="D29" s="8">
        <f t="shared" si="1"/>
        <v>4.26</v>
      </c>
    </row>
    <row r="30" spans="1:4" ht="12.75">
      <c r="A30" s="9" t="s">
        <v>50</v>
      </c>
      <c r="B30" s="8">
        <v>13.25</v>
      </c>
      <c r="C30" s="13">
        <v>9.04</v>
      </c>
      <c r="D30" s="8">
        <f t="shared" si="1"/>
        <v>4.210000000000001</v>
      </c>
    </row>
    <row r="31" spans="1:4" ht="12.75">
      <c r="A31" s="9" t="s">
        <v>51</v>
      </c>
      <c r="B31" s="8">
        <v>13.25</v>
      </c>
      <c r="C31" s="13">
        <v>9.03</v>
      </c>
      <c r="D31" s="8">
        <f t="shared" si="1"/>
        <v>4.220000000000001</v>
      </c>
    </row>
    <row r="32" spans="1:4" ht="12.75">
      <c r="A32" s="9" t="s">
        <v>52</v>
      </c>
      <c r="B32" s="8">
        <v>13.25</v>
      </c>
      <c r="C32" s="13">
        <v>9.03</v>
      </c>
      <c r="D32" s="8">
        <f t="shared" si="1"/>
        <v>4.220000000000001</v>
      </c>
    </row>
    <row r="33" spans="1:4" ht="12.75">
      <c r="A33" s="9" t="s">
        <v>53</v>
      </c>
      <c r="B33" s="8">
        <v>13.25</v>
      </c>
      <c r="C33" s="13">
        <v>8.75</v>
      </c>
      <c r="D33" s="8">
        <f t="shared" si="1"/>
        <v>4.5</v>
      </c>
    </row>
    <row r="34" spans="1:4" ht="12.75">
      <c r="A34" s="9" t="s">
        <v>54</v>
      </c>
      <c r="B34" s="8">
        <v>13.25</v>
      </c>
      <c r="C34" s="13">
        <v>8.93</v>
      </c>
      <c r="D34" s="8">
        <f t="shared" si="1"/>
        <v>4.32</v>
      </c>
    </row>
    <row r="35" spans="1:4" ht="12.75">
      <c r="A35" s="9" t="s">
        <v>55</v>
      </c>
      <c r="B35" s="8">
        <v>13.25</v>
      </c>
      <c r="C35" s="13">
        <v>22.44</v>
      </c>
      <c r="D35" s="13">
        <f t="shared" si="1"/>
        <v>-9.190000000000001</v>
      </c>
    </row>
    <row r="36" spans="1:4" ht="12.75">
      <c r="A36" s="9" t="s">
        <v>56</v>
      </c>
      <c r="B36" s="8">
        <v>13.25</v>
      </c>
      <c r="C36" s="13">
        <v>9.2</v>
      </c>
      <c r="D36" s="13">
        <f t="shared" si="1"/>
        <v>4.050000000000001</v>
      </c>
    </row>
    <row r="37" spans="1:4" ht="12.75">
      <c r="A37" s="9" t="s">
        <v>57</v>
      </c>
      <c r="B37" s="8">
        <v>13.25</v>
      </c>
      <c r="C37" s="13">
        <v>26.61</v>
      </c>
      <c r="D37" s="13">
        <f t="shared" si="1"/>
        <v>-13.36</v>
      </c>
    </row>
    <row r="38" spans="1:4" ht="12.75">
      <c r="A38" s="9" t="s">
        <v>60</v>
      </c>
      <c r="B38" s="8">
        <f>B12+B25</f>
        <v>2171861.5</v>
      </c>
      <c r="C38" s="8">
        <f>C12+C25</f>
        <v>2119907.71</v>
      </c>
      <c r="D38" s="8">
        <f>D12+D25</f>
        <v>51953.79000000003</v>
      </c>
    </row>
    <row r="40" spans="1:4" ht="12.75">
      <c r="A40" t="s">
        <v>61</v>
      </c>
      <c r="D40" s="12">
        <f>D38</f>
        <v>51953.79000000003</v>
      </c>
    </row>
    <row r="42" spans="1:4" ht="12.75">
      <c r="A42" s="11" t="s">
        <v>62</v>
      </c>
      <c r="D42" s="12">
        <f>D43+D44</f>
        <v>121752.63600000001</v>
      </c>
    </row>
    <row r="43" spans="1:4" ht="12.75">
      <c r="A43" s="11" t="s">
        <v>63</v>
      </c>
      <c r="D43" s="12">
        <f>(1.33*8*D4)+(1.11*4*D4)</f>
        <v>102228.82800000001</v>
      </c>
    </row>
    <row r="44" spans="1:4" ht="12.75">
      <c r="A44" s="11" t="s">
        <v>64</v>
      </c>
      <c r="D44" s="12">
        <f>(0.24*12*D4)</f>
        <v>19523.808</v>
      </c>
    </row>
    <row r="45" spans="1:4" ht="12.75">
      <c r="A45" s="11" t="s">
        <v>65</v>
      </c>
      <c r="D45" s="12">
        <v>0</v>
      </c>
    </row>
    <row r="46" spans="1:4" ht="12.75">
      <c r="A46" s="11" t="s">
        <v>109</v>
      </c>
      <c r="D46" s="12">
        <f>1343*0.22*4+(1343*2.5)</f>
        <v>4539.34</v>
      </c>
    </row>
    <row r="47" spans="1:4" ht="12.75">
      <c r="A47" s="11" t="s">
        <v>121</v>
      </c>
      <c r="D47" s="12">
        <f>(2.66*12*D4)</f>
        <v>216388.87200000003</v>
      </c>
    </row>
    <row r="48" spans="1:4" ht="12.75">
      <c r="A48" s="11" t="s">
        <v>66</v>
      </c>
      <c r="D48" s="12">
        <v>0</v>
      </c>
    </row>
    <row r="49" spans="1:4" ht="12.75">
      <c r="A49" s="11" t="s">
        <v>108</v>
      </c>
      <c r="D49" s="12">
        <f>(0.72*3*D4)</f>
        <v>14642.856000000002</v>
      </c>
    </row>
    <row r="50" spans="1:4" ht="12.75">
      <c r="A50" s="11" t="s">
        <v>67</v>
      </c>
      <c r="D50" s="12">
        <f>(1.45*8*D4)+(2.07*4*D4)</f>
        <v>134768.508</v>
      </c>
    </row>
    <row r="51" spans="1:4" ht="12.75">
      <c r="A51" s="11" t="s">
        <v>68</v>
      </c>
      <c r="D51" s="12">
        <f>(5.83*8*D4)+(4.25*4*D4)</f>
        <v>431421.92400000006</v>
      </c>
    </row>
    <row r="52" spans="1:4" ht="12.75">
      <c r="A52" s="11" t="s">
        <v>69</v>
      </c>
      <c r="D52" s="12">
        <f>(0.29*8*D4)+(0.25*4*D4)</f>
        <v>22506.612</v>
      </c>
    </row>
    <row r="53" spans="1:4" ht="12.75">
      <c r="A53" s="11" t="s">
        <v>110</v>
      </c>
      <c r="D53" s="12">
        <f>(3.87*8*D4)+(3.02*4*D4)</f>
        <v>291772.46400000004</v>
      </c>
    </row>
    <row r="54" spans="1:4" ht="12.75">
      <c r="A54" s="11" t="s">
        <v>70</v>
      </c>
      <c r="D54" s="12">
        <f>2.25*12*D5</f>
        <v>3213</v>
      </c>
    </row>
    <row r="55" spans="1:4" ht="12.75">
      <c r="A55" s="11" t="s">
        <v>71</v>
      </c>
      <c r="D55" s="12">
        <v>247726</v>
      </c>
    </row>
    <row r="56" spans="1:4" ht="12.75">
      <c r="A56" s="11" t="s">
        <v>72</v>
      </c>
      <c r="D56" s="12">
        <f>(0.7*8*D4)+(3.22*4*D4)</f>
        <v>125277.76800000001</v>
      </c>
    </row>
    <row r="57" spans="1:4" ht="12.75" hidden="1">
      <c r="A57" s="14" t="s">
        <v>96</v>
      </c>
      <c r="D57" s="12">
        <v>0</v>
      </c>
    </row>
    <row r="58" spans="1:4" ht="12.75">
      <c r="A58" s="11" t="s">
        <v>98</v>
      </c>
      <c r="D58" s="12">
        <f>(4.66*8*D4)+(4.71*4*D4)</f>
        <v>380443.09200000006</v>
      </c>
    </row>
    <row r="59" spans="1:4" ht="12.75">
      <c r="A59" s="11"/>
      <c r="D59" s="12"/>
    </row>
    <row r="60" spans="1:4" ht="12.75">
      <c r="A60" s="11" t="s">
        <v>73</v>
      </c>
      <c r="D60" s="12">
        <f>D42+D45+D47+D48+D50+D51+D52+D53+D54+D55+D56+D57+D58-D57+D46+D49</f>
        <v>1994453.0720000002</v>
      </c>
    </row>
    <row r="61" spans="1:4" ht="12.75">
      <c r="A61" s="11"/>
      <c r="D61" s="12"/>
    </row>
    <row r="62" spans="1:4" ht="12.75">
      <c r="A62" t="s">
        <v>100</v>
      </c>
      <c r="D62" s="12">
        <f>C38-D60</f>
        <v>125454.6379999998</v>
      </c>
    </row>
    <row r="64" spans="1:2" ht="12.75" hidden="1">
      <c r="A64">
        <v>28236</v>
      </c>
      <c r="B64" t="s">
        <v>17</v>
      </c>
    </row>
    <row r="65" spans="1:2" ht="12.75" hidden="1">
      <c r="A65">
        <v>1365</v>
      </c>
      <c r="B65" t="s">
        <v>124</v>
      </c>
    </row>
    <row r="66" spans="1:2" ht="12.75" hidden="1">
      <c r="A66">
        <v>7878</v>
      </c>
      <c r="B66" t="s">
        <v>178</v>
      </c>
    </row>
    <row r="67" spans="1:2" ht="12.75" hidden="1">
      <c r="A67">
        <v>2210</v>
      </c>
      <c r="B67" t="s">
        <v>119</v>
      </c>
    </row>
    <row r="68" spans="1:2" ht="12.75" hidden="1">
      <c r="A68">
        <v>6494</v>
      </c>
      <c r="B68" t="s">
        <v>188</v>
      </c>
    </row>
    <row r="69" spans="1:2" ht="12.75" hidden="1">
      <c r="A69">
        <v>6485</v>
      </c>
      <c r="B69" t="s">
        <v>126</v>
      </c>
    </row>
    <row r="70" spans="1:2" ht="12.75" hidden="1">
      <c r="A70">
        <v>1402</v>
      </c>
      <c r="B70" t="s">
        <v>194</v>
      </c>
    </row>
    <row r="71" spans="1:2" ht="12.75" hidden="1">
      <c r="A71">
        <v>2060</v>
      </c>
      <c r="B71" t="s">
        <v>119</v>
      </c>
    </row>
    <row r="72" spans="1:2" ht="12.75" hidden="1">
      <c r="A72">
        <v>103523</v>
      </c>
      <c r="B72" t="s">
        <v>141</v>
      </c>
    </row>
    <row r="73" spans="1:2" ht="12.75" hidden="1">
      <c r="A73">
        <v>69360</v>
      </c>
      <c r="B73" t="s">
        <v>141</v>
      </c>
    </row>
    <row r="74" spans="1:2" ht="12.75" hidden="1">
      <c r="A74">
        <v>3678</v>
      </c>
      <c r="B74" t="s">
        <v>126</v>
      </c>
    </row>
    <row r="75" spans="1:2" ht="12.75" hidden="1">
      <c r="A75">
        <v>9640</v>
      </c>
      <c r="B75" t="s">
        <v>154</v>
      </c>
    </row>
    <row r="76" spans="1:2" ht="12.75" hidden="1">
      <c r="A76">
        <v>3632</v>
      </c>
      <c r="B76" t="s">
        <v>119</v>
      </c>
    </row>
    <row r="77" spans="1:2" ht="12.75" hidden="1">
      <c r="A77">
        <v>1763</v>
      </c>
      <c r="B77" t="s">
        <v>119</v>
      </c>
    </row>
    <row r="78" ht="12.75" hidden="1">
      <c r="A78">
        <f>SUM(A64:A77)</f>
        <v>247726</v>
      </c>
    </row>
    <row r="79" ht="12.75" hidden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G93"/>
  <sheetViews>
    <sheetView workbookViewId="0" topLeftCell="A31">
      <selection activeCell="A2" sqref="A2"/>
    </sheetView>
  </sheetViews>
  <sheetFormatPr defaultColWidth="9.140625" defaultRowHeight="12.75"/>
  <cols>
    <col min="1" max="1" width="13.8515625" style="0" customWidth="1"/>
    <col min="2" max="2" width="15.28125" style="0" customWidth="1"/>
    <col min="3" max="3" width="12.421875" style="0" bestFit="1" customWidth="1"/>
    <col min="4" max="4" width="12.00390625" style="0" bestFit="1" customWidth="1"/>
    <col min="6" max="6" width="4.7109375" style="0" bestFit="1" customWidth="1"/>
    <col min="7" max="7" width="5.00390625" style="0" bestFit="1" customWidth="1"/>
    <col min="8" max="8" width="15.28125" style="0" customWidth="1"/>
    <col min="9" max="9" width="14.7109375" style="0" customWidth="1"/>
    <col min="10" max="10" width="16.140625" style="0" customWidth="1"/>
    <col min="11" max="12" width="4.57421875" style="0" customWidth="1"/>
    <col min="13" max="13" width="7.00390625" style="0" customWidth="1"/>
    <col min="14" max="14" width="35.57421875" style="0" customWidth="1"/>
    <col min="15" max="15" width="15.28125" style="0" customWidth="1"/>
    <col min="16" max="16" width="15.8515625" style="0" customWidth="1"/>
    <col min="17" max="17" width="14.57421875" style="0" customWidth="1"/>
    <col min="18" max="18" width="15.8515625" style="0" customWidth="1"/>
    <col min="23" max="23" width="12.421875" style="0" customWidth="1"/>
    <col min="24" max="24" width="13.8515625" style="0" customWidth="1"/>
    <col min="25" max="26" width="14.140625" style="0" customWidth="1"/>
    <col min="31" max="31" width="12.421875" style="0" customWidth="1"/>
    <col min="32" max="32" width="13.8515625" style="0" customWidth="1"/>
    <col min="33" max="34" width="14.140625" style="0" customWidth="1"/>
  </cols>
  <sheetData>
    <row r="1" ht="27.75" customHeight="1">
      <c r="A1" t="s">
        <v>7</v>
      </c>
    </row>
    <row r="2" spans="1:7" ht="12.75">
      <c r="A2" s="1" t="s">
        <v>34</v>
      </c>
      <c r="B2" s="2" t="s">
        <v>35</v>
      </c>
      <c r="C2" s="1" t="s">
        <v>82</v>
      </c>
      <c r="D2" s="1"/>
      <c r="E2" s="1" t="s">
        <v>36</v>
      </c>
      <c r="F2" s="3" t="s">
        <v>19</v>
      </c>
      <c r="G2" s="21">
        <v>2018</v>
      </c>
    </row>
    <row r="4" spans="1:5" ht="12.75">
      <c r="A4" t="s">
        <v>37</v>
      </c>
      <c r="D4" s="4">
        <v>2312</v>
      </c>
      <c r="E4" s="4" t="s">
        <v>74</v>
      </c>
    </row>
    <row r="5" spans="1:5" ht="12.75">
      <c r="A5" t="s">
        <v>38</v>
      </c>
      <c r="D5" s="4">
        <v>40</v>
      </c>
      <c r="E5" s="4"/>
    </row>
    <row r="6" spans="1:5" ht="12.75">
      <c r="A6" t="s">
        <v>39</v>
      </c>
      <c r="D6" s="4">
        <v>68</v>
      </c>
      <c r="E6" s="4" t="s">
        <v>40</v>
      </c>
    </row>
    <row r="7" spans="1:5" ht="12.75">
      <c r="A7" t="s">
        <v>41</v>
      </c>
      <c r="D7" s="4">
        <v>989.5</v>
      </c>
      <c r="E7" s="4" t="s">
        <v>74</v>
      </c>
    </row>
    <row r="8" spans="1:5" ht="12.75">
      <c r="A8" t="s">
        <v>42</v>
      </c>
      <c r="D8" s="4">
        <v>1445</v>
      </c>
      <c r="E8" s="4" t="s">
        <v>74</v>
      </c>
    </row>
    <row r="11" spans="2:4" ht="12.75">
      <c r="B11" s="6" t="s">
        <v>43</v>
      </c>
      <c r="C11" s="6" t="s">
        <v>44</v>
      </c>
      <c r="D11" s="6" t="s">
        <v>45</v>
      </c>
    </row>
    <row r="12" spans="1:4" ht="12.75">
      <c r="A12" s="7" t="s">
        <v>46</v>
      </c>
      <c r="B12" s="8">
        <f>SUM(B13:B24)</f>
        <v>691807.9799999999</v>
      </c>
      <c r="C12" s="8">
        <f>SUM(C13:C24)</f>
        <v>698189.71</v>
      </c>
      <c r="D12" s="8">
        <f>B12-C12</f>
        <v>-6381.730000000098</v>
      </c>
    </row>
    <row r="13" spans="1:4" ht="12.75">
      <c r="A13" s="9" t="s">
        <v>59</v>
      </c>
      <c r="B13" s="8">
        <v>61243.25</v>
      </c>
      <c r="C13" s="8">
        <v>74222.41</v>
      </c>
      <c r="D13" s="8">
        <f aca="true" t="shared" si="0" ref="D13:D24">B13-C13</f>
        <v>-12979.160000000003</v>
      </c>
    </row>
    <row r="14" spans="1:4" ht="12.75">
      <c r="A14" s="9" t="s">
        <v>47</v>
      </c>
      <c r="B14" s="8">
        <v>61243.25</v>
      </c>
      <c r="C14" s="13">
        <v>55555.22</v>
      </c>
      <c r="D14" s="8">
        <f t="shared" si="0"/>
        <v>5688.029999999999</v>
      </c>
    </row>
    <row r="15" spans="1:4" ht="12.75">
      <c r="A15" s="9" t="s">
        <v>48</v>
      </c>
      <c r="B15" s="8">
        <v>61243.25</v>
      </c>
      <c r="C15" s="13">
        <v>55165.24</v>
      </c>
      <c r="D15" s="8">
        <f t="shared" si="0"/>
        <v>6078.010000000002</v>
      </c>
    </row>
    <row r="16" spans="1:4" ht="12.75">
      <c r="A16" s="9" t="s">
        <v>49</v>
      </c>
      <c r="B16" s="8">
        <v>61243.25</v>
      </c>
      <c r="C16" s="13">
        <v>61260.36</v>
      </c>
      <c r="D16" s="8">
        <f t="shared" si="0"/>
        <v>-17.110000000000582</v>
      </c>
    </row>
    <row r="17" spans="1:4" ht="12.75">
      <c r="A17" s="9" t="s">
        <v>50</v>
      </c>
      <c r="B17" s="8">
        <v>61243.25</v>
      </c>
      <c r="C17" s="13">
        <v>57449.56</v>
      </c>
      <c r="D17" s="8">
        <f t="shared" si="0"/>
        <v>3793.6900000000023</v>
      </c>
    </row>
    <row r="18" spans="1:4" ht="12.75">
      <c r="A18" s="9" t="s">
        <v>51</v>
      </c>
      <c r="B18" s="8">
        <v>61243.25</v>
      </c>
      <c r="C18" s="13">
        <v>50198.63</v>
      </c>
      <c r="D18" s="8">
        <f t="shared" si="0"/>
        <v>11044.620000000003</v>
      </c>
    </row>
    <row r="19" spans="1:4" ht="12.75">
      <c r="A19" s="9" t="s">
        <v>52</v>
      </c>
      <c r="B19" s="8">
        <v>54058.08</v>
      </c>
      <c r="C19" s="13">
        <v>68927.06</v>
      </c>
      <c r="D19" s="8">
        <f t="shared" si="0"/>
        <v>-14868.979999999996</v>
      </c>
    </row>
    <row r="20" spans="1:4" ht="12.75">
      <c r="A20" s="9" t="s">
        <v>53</v>
      </c>
      <c r="B20" s="8">
        <v>54058.08</v>
      </c>
      <c r="C20" s="13">
        <v>48835.45</v>
      </c>
      <c r="D20" s="8">
        <f t="shared" si="0"/>
        <v>5222.630000000005</v>
      </c>
    </row>
    <row r="21" spans="1:4" ht="12.75">
      <c r="A21" s="9" t="s">
        <v>54</v>
      </c>
      <c r="B21" s="8">
        <v>54058.08</v>
      </c>
      <c r="C21" s="13">
        <v>52811.94</v>
      </c>
      <c r="D21" s="8">
        <f t="shared" si="0"/>
        <v>1246.1399999999994</v>
      </c>
    </row>
    <row r="22" spans="1:4" ht="12.75">
      <c r="A22" s="9" t="s">
        <v>55</v>
      </c>
      <c r="B22" s="8">
        <v>54058.08</v>
      </c>
      <c r="C22" s="13">
        <v>58323.45</v>
      </c>
      <c r="D22" s="13">
        <f t="shared" si="0"/>
        <v>-4265.369999999995</v>
      </c>
    </row>
    <row r="23" spans="1:4" ht="12.75">
      <c r="A23" s="9" t="s">
        <v>56</v>
      </c>
      <c r="B23" s="8">
        <v>54058.08</v>
      </c>
      <c r="C23" s="13">
        <v>52753.93</v>
      </c>
      <c r="D23" s="13">
        <f t="shared" si="0"/>
        <v>1304.1500000000015</v>
      </c>
    </row>
    <row r="24" spans="1:4" ht="12.75">
      <c r="A24" s="9" t="s">
        <v>57</v>
      </c>
      <c r="B24" s="8">
        <v>54058.08</v>
      </c>
      <c r="C24" s="13">
        <v>62686.46</v>
      </c>
      <c r="D24" s="13">
        <f t="shared" si="0"/>
        <v>-8628.379999999997</v>
      </c>
    </row>
    <row r="25" spans="1:4" ht="12.75">
      <c r="A25" s="7" t="s">
        <v>58</v>
      </c>
      <c r="B25" s="8">
        <f>SUM(B26:B37)</f>
        <v>0</v>
      </c>
      <c r="C25" s="8">
        <f>SUM(C26:C37)</f>
        <v>0</v>
      </c>
      <c r="D25" s="8">
        <f>B25+C25</f>
        <v>0</v>
      </c>
    </row>
    <row r="26" spans="1:4" ht="12.75">
      <c r="A26" s="9" t="s">
        <v>59</v>
      </c>
      <c r="B26" s="8"/>
      <c r="C26" s="8"/>
      <c r="D26" s="8">
        <f aca="true" t="shared" si="1" ref="D26:D37">B26-C26</f>
        <v>0</v>
      </c>
    </row>
    <row r="27" spans="1:4" ht="12.75">
      <c r="A27" s="9" t="s">
        <v>47</v>
      </c>
      <c r="B27" s="8"/>
      <c r="C27" s="13"/>
      <c r="D27" s="8">
        <f t="shared" si="1"/>
        <v>0</v>
      </c>
    </row>
    <row r="28" spans="1:4" ht="12.75">
      <c r="A28" s="9" t="s">
        <v>48</v>
      </c>
      <c r="B28" s="8"/>
      <c r="C28" s="13"/>
      <c r="D28" s="8">
        <f t="shared" si="1"/>
        <v>0</v>
      </c>
    </row>
    <row r="29" spans="1:4" ht="12.75">
      <c r="A29" s="9" t="s">
        <v>49</v>
      </c>
      <c r="B29" s="8"/>
      <c r="C29" s="13"/>
      <c r="D29" s="8">
        <f t="shared" si="1"/>
        <v>0</v>
      </c>
    </row>
    <row r="30" spans="1:4" ht="12.75">
      <c r="A30" s="9" t="s">
        <v>50</v>
      </c>
      <c r="B30" s="8"/>
      <c r="C30" s="13"/>
      <c r="D30" s="8">
        <f t="shared" si="1"/>
        <v>0</v>
      </c>
    </row>
    <row r="31" spans="1:4" ht="12.75">
      <c r="A31" s="9" t="s">
        <v>51</v>
      </c>
      <c r="B31" s="8"/>
      <c r="C31" s="13"/>
      <c r="D31" s="8">
        <f t="shared" si="1"/>
        <v>0</v>
      </c>
    </row>
    <row r="32" spans="1:4" ht="12.75">
      <c r="A32" s="9" t="s">
        <v>52</v>
      </c>
      <c r="B32" s="8"/>
      <c r="C32" s="13"/>
      <c r="D32" s="8">
        <f t="shared" si="1"/>
        <v>0</v>
      </c>
    </row>
    <row r="33" spans="1:4" ht="12.75">
      <c r="A33" s="9" t="s">
        <v>53</v>
      </c>
      <c r="B33" s="8"/>
      <c r="C33" s="13"/>
      <c r="D33" s="8">
        <f t="shared" si="1"/>
        <v>0</v>
      </c>
    </row>
    <row r="34" spans="1:4" ht="12.75">
      <c r="A34" s="9" t="s">
        <v>54</v>
      </c>
      <c r="B34" s="8"/>
      <c r="C34" s="13"/>
      <c r="D34" s="8">
        <f t="shared" si="1"/>
        <v>0</v>
      </c>
    </row>
    <row r="35" spans="1:4" ht="12.75">
      <c r="A35" s="9" t="s">
        <v>55</v>
      </c>
      <c r="B35" s="8"/>
      <c r="C35" s="13"/>
      <c r="D35" s="13">
        <f t="shared" si="1"/>
        <v>0</v>
      </c>
    </row>
    <row r="36" spans="1:4" ht="12.75">
      <c r="A36" s="9" t="s">
        <v>56</v>
      </c>
      <c r="B36" s="8"/>
      <c r="C36" s="13"/>
      <c r="D36" s="13">
        <f t="shared" si="1"/>
        <v>0</v>
      </c>
    </row>
    <row r="37" spans="1:4" ht="12.75">
      <c r="A37" s="9" t="s">
        <v>57</v>
      </c>
      <c r="B37" s="8"/>
      <c r="C37" s="13"/>
      <c r="D37" s="13">
        <f t="shared" si="1"/>
        <v>0</v>
      </c>
    </row>
    <row r="38" spans="1:4" ht="12.75">
      <c r="A38" s="9" t="s">
        <v>60</v>
      </c>
      <c r="B38" s="8">
        <f>B12+B25</f>
        <v>691807.9799999999</v>
      </c>
      <c r="C38" s="8">
        <f>C12+C25</f>
        <v>698189.71</v>
      </c>
      <c r="D38" s="8">
        <f>D12+D25</f>
        <v>-6381.730000000098</v>
      </c>
    </row>
    <row r="40" spans="1:4" ht="12.75">
      <c r="A40" t="s">
        <v>61</v>
      </c>
      <c r="D40" s="12">
        <f>D38</f>
        <v>-6381.730000000098</v>
      </c>
    </row>
    <row r="42" spans="1:4" ht="12.75">
      <c r="A42" s="11" t="s">
        <v>62</v>
      </c>
      <c r="D42" s="12">
        <f>D43+D44</f>
        <v>43558.08</v>
      </c>
    </row>
    <row r="43" spans="1:4" ht="12.75">
      <c r="A43" s="11" t="s">
        <v>63</v>
      </c>
      <c r="D43" s="12">
        <f>(1.33*12*D4)</f>
        <v>36899.520000000004</v>
      </c>
    </row>
    <row r="44" spans="1:4" ht="12.75">
      <c r="A44" s="11" t="s">
        <v>64</v>
      </c>
      <c r="D44" s="12">
        <f>(0.24*12*D4)</f>
        <v>6658.5599999999995</v>
      </c>
    </row>
    <row r="45" spans="1:4" ht="12.75">
      <c r="A45" s="11" t="s">
        <v>65</v>
      </c>
      <c r="D45" s="12">
        <v>0</v>
      </c>
    </row>
    <row r="46" spans="1:4" ht="12.75">
      <c r="A46" s="11" t="s">
        <v>109</v>
      </c>
      <c r="D46" s="12">
        <f>492.5*0.22*4+(492.5*2.5)</f>
        <v>1664.65</v>
      </c>
    </row>
    <row r="47" spans="1:4" ht="12.75">
      <c r="A47" s="11" t="s">
        <v>121</v>
      </c>
      <c r="D47" s="12">
        <f>(2.66*12*D4)</f>
        <v>73799.04000000001</v>
      </c>
    </row>
    <row r="48" spans="1:4" ht="12.75">
      <c r="A48" s="11" t="s">
        <v>66</v>
      </c>
      <c r="D48" s="12">
        <v>0</v>
      </c>
    </row>
    <row r="49" spans="1:4" ht="12.75">
      <c r="A49" s="11" t="s">
        <v>108</v>
      </c>
      <c r="D49" s="12">
        <f>(0.72*3*D4)</f>
        <v>4993.92</v>
      </c>
    </row>
    <row r="50" spans="1:4" ht="12.75">
      <c r="A50" s="11" t="s">
        <v>67</v>
      </c>
      <c r="D50" s="12">
        <f>(1.45*12*D4)</f>
        <v>40228.799999999996</v>
      </c>
    </row>
    <row r="51" spans="1:4" ht="12.75">
      <c r="A51" s="11" t="s">
        <v>68</v>
      </c>
      <c r="D51" s="12">
        <f>(5.83*12*D4)</f>
        <v>161747.52000000002</v>
      </c>
    </row>
    <row r="52" spans="1:4" ht="12.75">
      <c r="A52" s="11" t="s">
        <v>69</v>
      </c>
      <c r="D52" s="12">
        <f>(0.29*12*D4)</f>
        <v>8045.759999999999</v>
      </c>
    </row>
    <row r="53" spans="1:4" ht="12.75">
      <c r="A53" s="11" t="s">
        <v>110</v>
      </c>
      <c r="D53" s="12">
        <f>(3.87*12*D4)</f>
        <v>107369.28</v>
      </c>
    </row>
    <row r="54" spans="1:4" ht="12.75">
      <c r="A54" s="11" t="s">
        <v>70</v>
      </c>
      <c r="D54" s="12">
        <f>2.25*12*D5</f>
        <v>1080</v>
      </c>
    </row>
    <row r="55" spans="1:4" ht="12.75">
      <c r="A55" s="11" t="s">
        <v>71</v>
      </c>
      <c r="D55" s="12">
        <f>A68</f>
        <v>0</v>
      </c>
    </row>
    <row r="56" spans="1:4" ht="12.75">
      <c r="A56" s="11" t="s">
        <v>72</v>
      </c>
      <c r="D56" s="12">
        <f>(0.51*12*D4)</f>
        <v>14149.44</v>
      </c>
    </row>
    <row r="57" spans="1:4" ht="12.75" hidden="1">
      <c r="A57" s="14" t="s">
        <v>96</v>
      </c>
      <c r="D57" s="12">
        <v>0</v>
      </c>
    </row>
    <row r="58" spans="1:4" ht="12.75">
      <c r="A58" s="11" t="s">
        <v>98</v>
      </c>
      <c r="D58" s="12">
        <f>(4.66*12*D4)</f>
        <v>129287.04000000001</v>
      </c>
    </row>
    <row r="59" spans="1:4" ht="12.75">
      <c r="A59" s="11"/>
      <c r="D59" s="12"/>
    </row>
    <row r="60" spans="1:4" ht="12.75">
      <c r="A60" s="11" t="s">
        <v>73</v>
      </c>
      <c r="D60" s="12">
        <f>D42+D45+D47+D48+D50+D51+D52+D53+D54+D55+D56+D57+D58-D57+D46+D49</f>
        <v>585923.5300000001</v>
      </c>
    </row>
    <row r="61" spans="1:4" ht="12.75">
      <c r="A61" s="11"/>
      <c r="D61" s="12"/>
    </row>
    <row r="62" spans="1:4" ht="12.75">
      <c r="A62" t="s">
        <v>100</v>
      </c>
      <c r="D62" s="12">
        <f>C38-D60</f>
        <v>112266.17999999982</v>
      </c>
    </row>
    <row r="78" ht="12.75">
      <c r="G78" s="16"/>
    </row>
    <row r="79" ht="12.75">
      <c r="G79" s="17"/>
    </row>
    <row r="80" ht="12.75">
      <c r="G80" s="17"/>
    </row>
    <row r="81" ht="12.75">
      <c r="G81" s="17"/>
    </row>
    <row r="82" ht="12.75">
      <c r="G82" s="17"/>
    </row>
    <row r="83" ht="12.75">
      <c r="G83" s="17"/>
    </row>
    <row r="84" ht="12.75">
      <c r="G84" s="17"/>
    </row>
    <row r="85" ht="12.75">
      <c r="G85" s="17"/>
    </row>
    <row r="86" ht="12.75">
      <c r="G86" s="17"/>
    </row>
    <row r="87" ht="12.75">
      <c r="G87" s="17"/>
    </row>
    <row r="88" ht="12.75">
      <c r="G88" s="17"/>
    </row>
    <row r="89" ht="12.75">
      <c r="G89" s="17"/>
    </row>
    <row r="91" ht="12.75">
      <c r="G91" s="17"/>
    </row>
    <row r="93" ht="12.75">
      <c r="G93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G75"/>
  <sheetViews>
    <sheetView workbookViewId="0" topLeftCell="A28">
      <selection activeCell="A64" sqref="A64:IV75"/>
    </sheetView>
  </sheetViews>
  <sheetFormatPr defaultColWidth="9.140625" defaultRowHeight="12.75"/>
  <cols>
    <col min="2" max="3" width="14.421875" style="0" customWidth="1"/>
    <col min="4" max="4" width="13.421875" style="0" bestFit="1" customWidth="1"/>
  </cols>
  <sheetData>
    <row r="1" ht="12.75">
      <c r="A1" t="s">
        <v>8</v>
      </c>
    </row>
    <row r="2" spans="1:7" ht="12.75">
      <c r="A2" s="1" t="s">
        <v>34</v>
      </c>
      <c r="B2" s="2" t="s">
        <v>35</v>
      </c>
      <c r="C2" s="1" t="s">
        <v>82</v>
      </c>
      <c r="D2" s="1"/>
      <c r="E2" s="1" t="s">
        <v>36</v>
      </c>
      <c r="F2" s="3" t="s">
        <v>83</v>
      </c>
      <c r="G2" s="21">
        <v>2018</v>
      </c>
    </row>
    <row r="4" spans="1:5" ht="12.75">
      <c r="A4" t="s">
        <v>37</v>
      </c>
      <c r="D4" s="4">
        <v>4606.2</v>
      </c>
      <c r="E4" s="4" t="s">
        <v>74</v>
      </c>
    </row>
    <row r="5" spans="1:5" ht="12.75">
      <c r="A5" t="s">
        <v>38</v>
      </c>
      <c r="D5" s="4">
        <v>83</v>
      </c>
      <c r="E5" s="4"/>
    </row>
    <row r="6" spans="1:5" ht="12.75">
      <c r="A6" t="s">
        <v>39</v>
      </c>
      <c r="D6" s="4">
        <v>206</v>
      </c>
      <c r="E6" s="4" t="s">
        <v>40</v>
      </c>
    </row>
    <row r="7" spans="1:5" ht="12.75">
      <c r="A7" t="s">
        <v>41</v>
      </c>
      <c r="D7" s="4">
        <v>825.4</v>
      </c>
      <c r="E7" s="4" t="s">
        <v>74</v>
      </c>
    </row>
    <row r="8" spans="1:5" ht="12.75">
      <c r="A8" t="s">
        <v>42</v>
      </c>
      <c r="D8" s="4">
        <v>1445</v>
      </c>
      <c r="E8" s="4" t="s">
        <v>74</v>
      </c>
    </row>
    <row r="11" spans="2:4" ht="12.75">
      <c r="B11" s="6" t="s">
        <v>43</v>
      </c>
      <c r="C11" s="6" t="s">
        <v>44</v>
      </c>
      <c r="D11" s="6" t="s">
        <v>45</v>
      </c>
    </row>
    <row r="12" spans="1:4" ht="12.75">
      <c r="A12" s="7" t="s">
        <v>46</v>
      </c>
      <c r="B12" s="8">
        <f>SUM(B13:B24)</f>
        <v>1300885.1199999999</v>
      </c>
      <c r="C12" s="8">
        <f>SUM(C13:C24)</f>
        <v>1293285.6299999997</v>
      </c>
      <c r="D12" s="8">
        <f>SUM(D13:D24)</f>
        <v>7599.490000000005</v>
      </c>
    </row>
    <row r="13" spans="1:4" ht="12.75">
      <c r="A13" s="9" t="s">
        <v>59</v>
      </c>
      <c r="B13" s="8">
        <v>114280.04</v>
      </c>
      <c r="C13" s="8">
        <v>103333.65</v>
      </c>
      <c r="D13" s="8">
        <f aca="true" t="shared" si="0" ref="D13:D24">B13-C13</f>
        <v>10946.39</v>
      </c>
    </row>
    <row r="14" spans="1:4" ht="12.75">
      <c r="A14" s="9" t="s">
        <v>47</v>
      </c>
      <c r="B14" s="8">
        <v>114280.04</v>
      </c>
      <c r="C14" s="13">
        <v>112070.08</v>
      </c>
      <c r="D14" s="8">
        <f t="shared" si="0"/>
        <v>2209.959999999992</v>
      </c>
    </row>
    <row r="15" spans="1:4" ht="12.75">
      <c r="A15" s="9" t="s">
        <v>48</v>
      </c>
      <c r="B15" s="8">
        <v>114280.05</v>
      </c>
      <c r="C15" s="13">
        <v>126773.06</v>
      </c>
      <c r="D15" s="8">
        <f t="shared" si="0"/>
        <v>-12493.009999999995</v>
      </c>
    </row>
    <row r="16" spans="1:4" ht="12.75">
      <c r="A16" s="9" t="s">
        <v>49</v>
      </c>
      <c r="B16" s="8">
        <v>114280.05</v>
      </c>
      <c r="C16" s="13">
        <v>96152.58</v>
      </c>
      <c r="D16" s="8">
        <f t="shared" si="0"/>
        <v>18127.47</v>
      </c>
    </row>
    <row r="17" spans="1:4" ht="12.75">
      <c r="A17" s="9" t="s">
        <v>50</v>
      </c>
      <c r="B17" s="8">
        <v>114280.05</v>
      </c>
      <c r="C17" s="13">
        <v>110533.65</v>
      </c>
      <c r="D17" s="8">
        <f t="shared" si="0"/>
        <v>3746.4000000000087</v>
      </c>
    </row>
    <row r="18" spans="1:4" ht="12.75">
      <c r="A18" s="9" t="s">
        <v>51</v>
      </c>
      <c r="B18" s="8">
        <v>114280.05</v>
      </c>
      <c r="C18" s="13">
        <v>104208.11</v>
      </c>
      <c r="D18" s="8">
        <f t="shared" si="0"/>
        <v>10071.940000000002</v>
      </c>
    </row>
    <row r="19" spans="1:4" ht="12.75">
      <c r="A19" s="9" t="s">
        <v>52</v>
      </c>
      <c r="B19" s="8">
        <v>102534.14</v>
      </c>
      <c r="C19" s="13">
        <v>114936.31</v>
      </c>
      <c r="D19" s="8">
        <f t="shared" si="0"/>
        <v>-12402.169999999998</v>
      </c>
    </row>
    <row r="20" spans="1:4" ht="12.75">
      <c r="A20" s="9" t="s">
        <v>53</v>
      </c>
      <c r="B20" s="8">
        <v>102534.14</v>
      </c>
      <c r="C20" s="13">
        <v>109072.74</v>
      </c>
      <c r="D20" s="8">
        <f t="shared" si="0"/>
        <v>-6538.600000000006</v>
      </c>
    </row>
    <row r="21" spans="1:4" ht="12.75">
      <c r="A21" s="9" t="s">
        <v>54</v>
      </c>
      <c r="B21" s="8">
        <v>102534.14</v>
      </c>
      <c r="C21" s="13">
        <v>84837.12</v>
      </c>
      <c r="D21" s="8">
        <f t="shared" si="0"/>
        <v>17697.020000000004</v>
      </c>
    </row>
    <row r="22" spans="1:4" ht="12.75">
      <c r="A22" s="9" t="s">
        <v>55</v>
      </c>
      <c r="B22" s="8">
        <v>102534.14</v>
      </c>
      <c r="C22" s="13">
        <v>125918.82</v>
      </c>
      <c r="D22" s="13">
        <f t="shared" si="0"/>
        <v>-23384.680000000008</v>
      </c>
    </row>
    <row r="23" spans="1:4" ht="12.75">
      <c r="A23" s="9" t="s">
        <v>56</v>
      </c>
      <c r="B23" s="8">
        <v>102534.14</v>
      </c>
      <c r="C23" s="13">
        <v>100623.87</v>
      </c>
      <c r="D23" s="13">
        <f t="shared" si="0"/>
        <v>1910.270000000004</v>
      </c>
    </row>
    <row r="24" spans="1:4" ht="12.75">
      <c r="A24" s="9" t="s">
        <v>57</v>
      </c>
      <c r="B24" s="8">
        <v>102534.14</v>
      </c>
      <c r="C24" s="13">
        <v>104825.64</v>
      </c>
      <c r="D24" s="13">
        <f t="shared" si="0"/>
        <v>-2291.5</v>
      </c>
    </row>
    <row r="25" spans="1:4" ht="12" customHeight="1">
      <c r="A25" s="7" t="s">
        <v>58</v>
      </c>
      <c r="B25" s="8">
        <f>SUM(B26:B37)</f>
        <v>0</v>
      </c>
      <c r="C25" s="8">
        <f>SUM(C26:C37)</f>
        <v>0</v>
      </c>
      <c r="D25" s="8">
        <f>SUM(D26:D37)</f>
        <v>0</v>
      </c>
    </row>
    <row r="26" spans="1:4" ht="12.75">
      <c r="A26" s="9" t="s">
        <v>59</v>
      </c>
      <c r="B26" s="8"/>
      <c r="C26" s="8"/>
      <c r="D26" s="8">
        <f aca="true" t="shared" si="1" ref="D26:D37">B26-C26</f>
        <v>0</v>
      </c>
    </row>
    <row r="27" spans="1:4" ht="12.75">
      <c r="A27" s="9" t="s">
        <v>47</v>
      </c>
      <c r="B27" s="13"/>
      <c r="C27" s="13"/>
      <c r="D27" s="8">
        <f t="shared" si="1"/>
        <v>0</v>
      </c>
    </row>
    <row r="28" spans="1:4" ht="12.75">
      <c r="A28" s="9" t="s">
        <v>48</v>
      </c>
      <c r="B28" s="13"/>
      <c r="C28" s="13"/>
      <c r="D28" s="8">
        <f t="shared" si="1"/>
        <v>0</v>
      </c>
    </row>
    <row r="29" spans="1:4" ht="12.75">
      <c r="A29" s="9" t="s">
        <v>49</v>
      </c>
      <c r="B29" s="13"/>
      <c r="C29" s="13"/>
      <c r="D29" s="8">
        <f t="shared" si="1"/>
        <v>0</v>
      </c>
    </row>
    <row r="30" spans="1:4" ht="12.75">
      <c r="A30" s="9" t="s">
        <v>50</v>
      </c>
      <c r="B30" s="13"/>
      <c r="C30" s="13"/>
      <c r="D30" s="8">
        <f t="shared" si="1"/>
        <v>0</v>
      </c>
    </row>
    <row r="31" spans="1:4" ht="12.75">
      <c r="A31" s="9" t="s">
        <v>51</v>
      </c>
      <c r="B31" s="13"/>
      <c r="C31" s="13"/>
      <c r="D31" s="8">
        <f t="shared" si="1"/>
        <v>0</v>
      </c>
    </row>
    <row r="32" spans="1:4" ht="12.75">
      <c r="A32" s="9" t="s">
        <v>52</v>
      </c>
      <c r="B32" s="13"/>
      <c r="C32" s="13"/>
      <c r="D32" s="8">
        <f t="shared" si="1"/>
        <v>0</v>
      </c>
    </row>
    <row r="33" spans="1:4" ht="12.75">
      <c r="A33" s="9" t="s">
        <v>53</v>
      </c>
      <c r="B33" s="13"/>
      <c r="C33" s="13"/>
      <c r="D33" s="8">
        <f t="shared" si="1"/>
        <v>0</v>
      </c>
    </row>
    <row r="34" spans="1:4" ht="12.75">
      <c r="A34" s="9" t="s">
        <v>54</v>
      </c>
      <c r="B34" s="13"/>
      <c r="C34" s="13"/>
      <c r="D34" s="8">
        <f t="shared" si="1"/>
        <v>0</v>
      </c>
    </row>
    <row r="35" spans="1:4" ht="12.75">
      <c r="A35" s="9" t="s">
        <v>55</v>
      </c>
      <c r="B35" s="13"/>
      <c r="C35" s="13"/>
      <c r="D35" s="13">
        <f t="shared" si="1"/>
        <v>0</v>
      </c>
    </row>
    <row r="36" spans="1:4" ht="12.75">
      <c r="A36" s="9" t="s">
        <v>56</v>
      </c>
      <c r="B36" s="13"/>
      <c r="C36" s="13"/>
      <c r="D36" s="13">
        <f t="shared" si="1"/>
        <v>0</v>
      </c>
    </row>
    <row r="37" spans="1:4" ht="12.75">
      <c r="A37" s="9" t="s">
        <v>57</v>
      </c>
      <c r="B37" s="10"/>
      <c r="C37" s="10"/>
      <c r="D37" s="13">
        <f t="shared" si="1"/>
        <v>0</v>
      </c>
    </row>
    <row r="38" spans="1:4" ht="12.75">
      <c r="A38" s="9" t="s">
        <v>60</v>
      </c>
      <c r="B38" s="8">
        <f>B12+B25</f>
        <v>1300885.1199999999</v>
      </c>
      <c r="C38" s="8">
        <f>C12+C25</f>
        <v>1293285.6299999997</v>
      </c>
      <c r="D38" s="8">
        <f>D12+D25</f>
        <v>7599.490000000005</v>
      </c>
    </row>
    <row r="40" spans="1:4" ht="12.75">
      <c r="A40" t="s">
        <v>61</v>
      </c>
      <c r="D40" s="12">
        <f>D38</f>
        <v>7599.490000000005</v>
      </c>
    </row>
    <row r="42" spans="1:4" ht="12.75">
      <c r="A42" s="11" t="s">
        <v>62</v>
      </c>
      <c r="D42" s="12">
        <f>D43+D44</f>
        <v>86780.808</v>
      </c>
    </row>
    <row r="43" spans="1:4" ht="12.75">
      <c r="A43" s="11" t="s">
        <v>63</v>
      </c>
      <c r="D43" s="12">
        <f>(1.33*12*D4)</f>
        <v>73514.952</v>
      </c>
    </row>
    <row r="44" spans="1:4" ht="12.75">
      <c r="A44" s="11" t="s">
        <v>64</v>
      </c>
      <c r="D44" s="12">
        <f>(0.24*12*D4)</f>
        <v>13265.856</v>
      </c>
    </row>
    <row r="45" spans="1:4" ht="12.75">
      <c r="A45" s="11" t="s">
        <v>65</v>
      </c>
      <c r="D45" s="12">
        <v>0</v>
      </c>
    </row>
    <row r="46" spans="1:4" ht="12.75">
      <c r="A46" s="11" t="s">
        <v>109</v>
      </c>
      <c r="D46" s="12">
        <f>964.9*0.22*4+(964.9*2.5)</f>
        <v>3261.362</v>
      </c>
    </row>
    <row r="47" spans="1:4" ht="12.75">
      <c r="A47" s="11" t="s">
        <v>121</v>
      </c>
      <c r="D47" s="12">
        <f>(2.66*12*D4)</f>
        <v>147029.904</v>
      </c>
    </row>
    <row r="48" spans="1:4" ht="12.75">
      <c r="A48" s="11" t="s">
        <v>66</v>
      </c>
      <c r="D48" s="12">
        <v>0</v>
      </c>
    </row>
    <row r="49" spans="1:4" ht="12.75">
      <c r="A49" s="11" t="s">
        <v>108</v>
      </c>
      <c r="D49" s="12">
        <v>0</v>
      </c>
    </row>
    <row r="50" spans="1:4" ht="12.75">
      <c r="A50" s="11" t="s">
        <v>67</v>
      </c>
      <c r="D50" s="12">
        <f>(1.45*12*D4)</f>
        <v>80147.87999999999</v>
      </c>
    </row>
    <row r="51" spans="1:4" ht="12.75">
      <c r="A51" s="11" t="s">
        <v>68</v>
      </c>
      <c r="D51" s="12">
        <f>(5.83*12*D4)</f>
        <v>322249.75200000004</v>
      </c>
    </row>
    <row r="52" spans="1:4" ht="12.75">
      <c r="A52" s="11" t="s">
        <v>69</v>
      </c>
      <c r="D52" s="12">
        <f>(0.29*12*D4)</f>
        <v>16029.575999999997</v>
      </c>
    </row>
    <row r="53" spans="1:4" ht="12.75">
      <c r="A53" s="11" t="s">
        <v>110</v>
      </c>
      <c r="D53" s="12">
        <f>(3.87*12*D4)</f>
        <v>213911.92799999999</v>
      </c>
    </row>
    <row r="54" spans="1:4" ht="12.75">
      <c r="A54" s="11" t="s">
        <v>70</v>
      </c>
      <c r="D54" s="12">
        <f>2.25*12*D5</f>
        <v>2241</v>
      </c>
    </row>
    <row r="55" spans="1:4" ht="12.75">
      <c r="A55" s="11" t="s">
        <v>71</v>
      </c>
      <c r="D55" s="12">
        <v>27286</v>
      </c>
    </row>
    <row r="56" spans="1:4" ht="12.75">
      <c r="A56" s="11" t="s">
        <v>72</v>
      </c>
      <c r="D56" s="12">
        <f>(0.32*12*D4)</f>
        <v>17687.807999999997</v>
      </c>
    </row>
    <row r="57" spans="1:4" ht="12.75">
      <c r="A57" s="14" t="s">
        <v>96</v>
      </c>
      <c r="D57" s="12">
        <v>0</v>
      </c>
    </row>
    <row r="58" spans="1:4" ht="12.75">
      <c r="A58" s="11" t="s">
        <v>98</v>
      </c>
      <c r="D58" s="12">
        <f>(4.66*12*D4)</f>
        <v>257578.704</v>
      </c>
    </row>
    <row r="59" spans="1:4" ht="12.75">
      <c r="A59" s="11"/>
      <c r="D59" s="12"/>
    </row>
    <row r="60" spans="1:4" ht="12.75">
      <c r="A60" s="11" t="s">
        <v>73</v>
      </c>
      <c r="D60" s="12">
        <f>D42+D45+D47+D48+D50+D51+D52+D53+D54+D55+D56+D57+D58-D57+D46+D49</f>
        <v>1174204.7219999998</v>
      </c>
    </row>
    <row r="61" spans="1:4" ht="12.75">
      <c r="A61" s="11"/>
      <c r="D61" s="12"/>
    </row>
    <row r="62" spans="1:4" ht="12.75">
      <c r="A62" t="s">
        <v>100</v>
      </c>
      <c r="D62" s="12">
        <f>C38-D60</f>
        <v>119080.90799999982</v>
      </c>
    </row>
    <row r="64" ht="12.75" hidden="1">
      <c r="A64" s="11" t="s">
        <v>71</v>
      </c>
    </row>
    <row r="65" ht="12.75" hidden="1"/>
    <row r="66" spans="1:2" ht="12.75" hidden="1">
      <c r="A66">
        <v>4472</v>
      </c>
      <c r="B66" t="s">
        <v>27</v>
      </c>
    </row>
    <row r="67" spans="1:2" ht="12.75" hidden="1">
      <c r="A67">
        <v>494</v>
      </c>
      <c r="B67" t="s">
        <v>123</v>
      </c>
    </row>
    <row r="68" spans="1:2" ht="12.75" hidden="1">
      <c r="A68">
        <v>2050</v>
      </c>
      <c r="B68" t="s">
        <v>119</v>
      </c>
    </row>
    <row r="69" spans="1:2" ht="12.75" hidden="1">
      <c r="A69">
        <v>5053</v>
      </c>
      <c r="B69" t="s">
        <v>209</v>
      </c>
    </row>
    <row r="70" spans="1:2" ht="12.75" hidden="1">
      <c r="A70">
        <v>290</v>
      </c>
      <c r="B70" t="s">
        <v>216</v>
      </c>
    </row>
    <row r="71" spans="1:2" ht="12.75" hidden="1">
      <c r="A71">
        <v>1510</v>
      </c>
      <c r="B71" t="s">
        <v>16</v>
      </c>
    </row>
    <row r="72" spans="1:2" ht="12.75" hidden="1">
      <c r="A72">
        <v>1099</v>
      </c>
      <c r="B72" t="s">
        <v>27</v>
      </c>
    </row>
    <row r="73" spans="1:2" ht="12.75" hidden="1">
      <c r="A73">
        <v>9758</v>
      </c>
      <c r="B73" t="s">
        <v>124</v>
      </c>
    </row>
    <row r="74" spans="1:2" ht="12.75" hidden="1">
      <c r="A74">
        <v>2560</v>
      </c>
      <c r="B74" t="s">
        <v>155</v>
      </c>
    </row>
    <row r="75" ht="12.75" hidden="1">
      <c r="A75">
        <f>SUM(A66:A74)</f>
        <v>27286</v>
      </c>
    </row>
  </sheetData>
  <sheetProtection/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A1:G87"/>
  <sheetViews>
    <sheetView zoomScalePageLayoutView="0" workbookViewId="0" topLeftCell="A31">
      <selection activeCell="A64" sqref="A64:IV87"/>
    </sheetView>
  </sheetViews>
  <sheetFormatPr defaultColWidth="9.140625" defaultRowHeight="12.75"/>
  <cols>
    <col min="2" max="3" width="14.140625" style="0" bestFit="1" customWidth="1"/>
    <col min="4" max="4" width="14.00390625" style="0" bestFit="1" customWidth="1"/>
  </cols>
  <sheetData>
    <row r="1" ht="12.75">
      <c r="A1" t="s">
        <v>9</v>
      </c>
    </row>
    <row r="3" spans="1:7" ht="12.75">
      <c r="A3" s="1" t="s">
        <v>34</v>
      </c>
      <c r="B3" s="2" t="s">
        <v>35</v>
      </c>
      <c r="C3" s="1" t="s">
        <v>84</v>
      </c>
      <c r="D3" s="1"/>
      <c r="E3" s="1" t="s">
        <v>36</v>
      </c>
      <c r="F3" s="3">
        <v>7</v>
      </c>
      <c r="G3" s="21">
        <v>2018</v>
      </c>
    </row>
    <row r="5" spans="1:5" ht="12.75">
      <c r="A5" t="s">
        <v>37</v>
      </c>
      <c r="D5" s="4">
        <v>4267.3</v>
      </c>
      <c r="E5" s="5" t="s">
        <v>74</v>
      </c>
    </row>
    <row r="6" spans="1:5" ht="12.75">
      <c r="A6" t="s">
        <v>38</v>
      </c>
      <c r="D6" s="4">
        <v>86</v>
      </c>
      <c r="E6" s="5"/>
    </row>
    <row r="7" spans="1:5" ht="12.75">
      <c r="A7" t="s">
        <v>39</v>
      </c>
      <c r="D7" s="4">
        <v>202</v>
      </c>
      <c r="E7" s="5" t="s">
        <v>40</v>
      </c>
    </row>
    <row r="8" spans="1:5" ht="12.75">
      <c r="A8" t="s">
        <v>41</v>
      </c>
      <c r="D8" s="4">
        <v>504.2</v>
      </c>
      <c r="E8" s="5" t="s">
        <v>74</v>
      </c>
    </row>
    <row r="9" spans="1:5" ht="12.75">
      <c r="A9" t="s">
        <v>42</v>
      </c>
      <c r="D9" s="4">
        <v>338</v>
      </c>
      <c r="E9" s="5" t="s">
        <v>74</v>
      </c>
    </row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981032.5799999998</v>
      </c>
      <c r="C13" s="8">
        <f>SUM(C14:C25)</f>
        <v>894840.0900000001</v>
      </c>
      <c r="D13" s="8">
        <f>SUM(D14:D25)</f>
        <v>86192.49000000002</v>
      </c>
    </row>
    <row r="14" spans="1:4" ht="12.75">
      <c r="A14" s="9" t="s">
        <v>59</v>
      </c>
      <c r="B14" s="8">
        <v>81584.55</v>
      </c>
      <c r="C14" s="8">
        <v>77972.31</v>
      </c>
      <c r="D14" s="8">
        <f aca="true" t="shared" si="0" ref="D14:D25">B14-C14</f>
        <v>3612.2400000000052</v>
      </c>
    </row>
    <row r="15" spans="1:4" ht="12.75">
      <c r="A15" s="9" t="s">
        <v>47</v>
      </c>
      <c r="B15" s="8">
        <v>81584.55</v>
      </c>
      <c r="C15" s="13">
        <v>79439.45</v>
      </c>
      <c r="D15" s="8">
        <f t="shared" si="0"/>
        <v>2145.100000000006</v>
      </c>
    </row>
    <row r="16" spans="1:4" ht="12.75">
      <c r="A16" s="9" t="s">
        <v>48</v>
      </c>
      <c r="B16" s="8">
        <v>81584.55</v>
      </c>
      <c r="C16" s="13">
        <v>72395.46</v>
      </c>
      <c r="D16" s="8">
        <f t="shared" si="0"/>
        <v>9189.089999999997</v>
      </c>
    </row>
    <row r="17" spans="1:4" ht="12.75">
      <c r="A17" s="9" t="s">
        <v>49</v>
      </c>
      <c r="B17" s="8">
        <v>81584.55</v>
      </c>
      <c r="C17" s="13">
        <v>68756.32</v>
      </c>
      <c r="D17" s="8">
        <f t="shared" si="0"/>
        <v>12828.229999999996</v>
      </c>
    </row>
    <row r="18" spans="1:4" ht="12.75">
      <c r="A18" s="9" t="s">
        <v>50</v>
      </c>
      <c r="B18" s="8">
        <v>81580.73</v>
      </c>
      <c r="C18" s="13">
        <v>71560.23</v>
      </c>
      <c r="D18" s="8">
        <f t="shared" si="0"/>
        <v>10020.5</v>
      </c>
    </row>
    <row r="19" spans="1:4" ht="12.75">
      <c r="A19" s="9" t="s">
        <v>51</v>
      </c>
      <c r="B19" s="8">
        <v>81580.73</v>
      </c>
      <c r="C19" s="13">
        <v>80057.13</v>
      </c>
      <c r="D19" s="8">
        <f t="shared" si="0"/>
        <v>1523.5999999999913</v>
      </c>
    </row>
    <row r="20" spans="1:4" ht="12.75">
      <c r="A20" s="9" t="s">
        <v>52</v>
      </c>
      <c r="B20" s="8">
        <v>72359.58</v>
      </c>
      <c r="C20" s="13">
        <v>66758.93</v>
      </c>
      <c r="D20" s="8">
        <f t="shared" si="0"/>
        <v>5600.650000000009</v>
      </c>
    </row>
    <row r="21" spans="1:4" ht="12.75">
      <c r="A21" s="9" t="s">
        <v>53</v>
      </c>
      <c r="B21" s="8">
        <v>72359.58</v>
      </c>
      <c r="C21" s="13">
        <v>63573.59</v>
      </c>
      <c r="D21" s="8">
        <f t="shared" si="0"/>
        <v>8785.990000000005</v>
      </c>
    </row>
    <row r="22" spans="1:4" ht="12.75">
      <c r="A22" s="9" t="s">
        <v>54</v>
      </c>
      <c r="B22" s="8">
        <v>86703.44</v>
      </c>
      <c r="C22" s="13">
        <v>80985.61</v>
      </c>
      <c r="D22" s="8">
        <f t="shared" si="0"/>
        <v>5717.830000000002</v>
      </c>
    </row>
    <row r="23" spans="1:4" ht="12.75">
      <c r="A23" s="9" t="s">
        <v>55</v>
      </c>
      <c r="B23" s="8">
        <v>86703.44</v>
      </c>
      <c r="C23" s="13">
        <v>73527.63</v>
      </c>
      <c r="D23" s="13">
        <f t="shared" si="0"/>
        <v>13175.809999999998</v>
      </c>
    </row>
    <row r="24" spans="1:4" ht="12.75">
      <c r="A24" s="9" t="s">
        <v>56</v>
      </c>
      <c r="B24" s="8">
        <v>86703.44</v>
      </c>
      <c r="C24" s="13">
        <v>85379.39</v>
      </c>
      <c r="D24" s="13">
        <f t="shared" si="0"/>
        <v>1324.050000000003</v>
      </c>
    </row>
    <row r="25" spans="1:4" ht="12.75">
      <c r="A25" s="9" t="s">
        <v>57</v>
      </c>
      <c r="B25" s="8">
        <v>86703.44</v>
      </c>
      <c r="C25" s="13">
        <v>74434.04</v>
      </c>
      <c r="D25" s="13">
        <f t="shared" si="0"/>
        <v>12269.400000000009</v>
      </c>
    </row>
    <row r="26" spans="1:4" ht="12.75">
      <c r="A26" s="7" t="s">
        <v>58</v>
      </c>
      <c r="B26" s="8">
        <f>SUM(B27:B38)</f>
        <v>493.6799999999999</v>
      </c>
      <c r="C26" s="8">
        <f>SUM(C27:C38)</f>
        <v>390.28</v>
      </c>
      <c r="D26" s="8">
        <f>SUM(D27:D38)</f>
        <v>103.40000000000002</v>
      </c>
    </row>
    <row r="27" spans="1:4" ht="12.75">
      <c r="A27" s="9" t="s">
        <v>59</v>
      </c>
      <c r="B27" s="8">
        <v>41.14</v>
      </c>
      <c r="C27" s="8">
        <v>47.37</v>
      </c>
      <c r="D27" s="8">
        <f aca="true" t="shared" si="1" ref="D27:D38">B27-C27</f>
        <v>-6.229999999999997</v>
      </c>
    </row>
    <row r="28" spans="1:4" ht="12.75">
      <c r="A28" s="9" t="s">
        <v>47</v>
      </c>
      <c r="B28" s="8">
        <v>41.14</v>
      </c>
      <c r="C28" s="13">
        <v>40.16</v>
      </c>
      <c r="D28" s="8">
        <f t="shared" si="1"/>
        <v>0.980000000000004</v>
      </c>
    </row>
    <row r="29" spans="1:4" ht="12.75">
      <c r="A29" s="9" t="s">
        <v>48</v>
      </c>
      <c r="B29" s="8">
        <v>41.14</v>
      </c>
      <c r="C29" s="13">
        <v>31.26</v>
      </c>
      <c r="D29" s="8">
        <f t="shared" si="1"/>
        <v>9.879999999999999</v>
      </c>
    </row>
    <row r="30" spans="1:4" ht="12.75">
      <c r="A30" s="9" t="s">
        <v>49</v>
      </c>
      <c r="B30" s="8">
        <v>41.14</v>
      </c>
      <c r="C30" s="13">
        <v>26.13</v>
      </c>
      <c r="D30" s="8">
        <f t="shared" si="1"/>
        <v>15.010000000000002</v>
      </c>
    </row>
    <row r="31" spans="1:4" ht="12.75">
      <c r="A31" s="9" t="s">
        <v>50</v>
      </c>
      <c r="B31" s="8">
        <v>41.14</v>
      </c>
      <c r="C31" s="13">
        <v>26.32</v>
      </c>
      <c r="D31" s="8">
        <f t="shared" si="1"/>
        <v>14.82</v>
      </c>
    </row>
    <row r="32" spans="1:4" ht="12.75">
      <c r="A32" s="9" t="s">
        <v>51</v>
      </c>
      <c r="B32" s="8">
        <v>41.14</v>
      </c>
      <c r="C32" s="13">
        <v>40.96</v>
      </c>
      <c r="D32" s="8">
        <f t="shared" si="1"/>
        <v>0.17999999999999972</v>
      </c>
    </row>
    <row r="33" spans="1:4" ht="12.75">
      <c r="A33" s="9" t="s">
        <v>52</v>
      </c>
      <c r="B33" s="8">
        <v>41.14</v>
      </c>
      <c r="C33" s="13">
        <v>27.44</v>
      </c>
      <c r="D33" s="8">
        <f t="shared" si="1"/>
        <v>13.7</v>
      </c>
    </row>
    <row r="34" spans="1:4" ht="12.75">
      <c r="A34" s="9" t="s">
        <v>53</v>
      </c>
      <c r="B34" s="8">
        <v>41.14</v>
      </c>
      <c r="C34" s="13">
        <v>32.97</v>
      </c>
      <c r="D34" s="8">
        <f t="shared" si="1"/>
        <v>8.170000000000002</v>
      </c>
    </row>
    <row r="35" spans="1:4" ht="12.75">
      <c r="A35" s="9" t="s">
        <v>54</v>
      </c>
      <c r="B35" s="8">
        <v>41.14</v>
      </c>
      <c r="C35" s="13">
        <v>28.69</v>
      </c>
      <c r="D35" s="8">
        <f t="shared" si="1"/>
        <v>12.45</v>
      </c>
    </row>
    <row r="36" spans="1:4" ht="12.75">
      <c r="A36" s="9" t="s">
        <v>55</v>
      </c>
      <c r="B36" s="8">
        <v>41.14</v>
      </c>
      <c r="C36" s="13">
        <v>28.65</v>
      </c>
      <c r="D36" s="13">
        <f t="shared" si="1"/>
        <v>12.490000000000002</v>
      </c>
    </row>
    <row r="37" spans="1:4" ht="12.75">
      <c r="A37" s="9" t="s">
        <v>56</v>
      </c>
      <c r="B37" s="8">
        <v>41.14</v>
      </c>
      <c r="C37" s="13">
        <v>29.5</v>
      </c>
      <c r="D37" s="13">
        <f t="shared" si="1"/>
        <v>11.64</v>
      </c>
    </row>
    <row r="38" spans="1:4" ht="12.75">
      <c r="A38" s="9" t="s">
        <v>57</v>
      </c>
      <c r="B38" s="8">
        <v>41.14</v>
      </c>
      <c r="C38" s="13">
        <v>30.83</v>
      </c>
      <c r="D38" s="13">
        <f t="shared" si="1"/>
        <v>10.310000000000002</v>
      </c>
    </row>
    <row r="39" spans="1:4" ht="12.75">
      <c r="A39" s="9" t="s">
        <v>60</v>
      </c>
      <c r="B39" s="8">
        <f>B13+B26</f>
        <v>981526.2599999999</v>
      </c>
      <c r="C39" s="8">
        <f>C13+C26</f>
        <v>895230.3700000001</v>
      </c>
      <c r="D39" s="8">
        <f>D13+D26</f>
        <v>86295.89000000001</v>
      </c>
    </row>
    <row r="41" spans="1:4" ht="12.75">
      <c r="A41" t="s">
        <v>61</v>
      </c>
      <c r="D41" s="12">
        <f>D39</f>
        <v>86295.89000000001</v>
      </c>
    </row>
    <row r="43" spans="1:4" ht="12.75">
      <c r="A43" s="11" t="s">
        <v>62</v>
      </c>
      <c r="D43" s="12">
        <f>D44+D45</f>
        <v>77323.47600000001</v>
      </c>
    </row>
    <row r="44" spans="1:4" ht="12.75">
      <c r="A44" s="11" t="s">
        <v>63</v>
      </c>
      <c r="D44" s="12">
        <f>(1.61*4*D5)+(1.1*8*D5)</f>
        <v>65033.65200000001</v>
      </c>
    </row>
    <row r="45" spans="1:4" ht="12.75">
      <c r="A45" s="11" t="s">
        <v>64</v>
      </c>
      <c r="D45" s="12">
        <f>(0.24*12*D5)</f>
        <v>12289.824</v>
      </c>
    </row>
    <row r="46" spans="1:4" ht="12.75">
      <c r="A46" s="11" t="s">
        <v>65</v>
      </c>
      <c r="D46" s="12">
        <v>0</v>
      </c>
    </row>
    <row r="47" spans="1:4" ht="12.75">
      <c r="A47" s="11" t="s">
        <v>109</v>
      </c>
      <c r="D47" s="12">
        <f>1717*0.22*4+(1717*2.5)</f>
        <v>5803.46</v>
      </c>
    </row>
    <row r="48" spans="1:4" ht="12.75">
      <c r="A48" s="11" t="s">
        <v>121</v>
      </c>
      <c r="D48" s="12">
        <f>(2.2*6*D5)</f>
        <v>56328.36000000001</v>
      </c>
    </row>
    <row r="49" spans="1:4" ht="12.75">
      <c r="A49" s="11" t="s">
        <v>66</v>
      </c>
      <c r="D49" s="12">
        <v>0</v>
      </c>
    </row>
    <row r="50" spans="1:4" ht="12.75">
      <c r="A50" s="11" t="s">
        <v>108</v>
      </c>
      <c r="D50" s="12">
        <f>(0.72*2*D5)+(0.8*1*D5)</f>
        <v>9558.752</v>
      </c>
    </row>
    <row r="51" spans="1:4" ht="12.75">
      <c r="A51" s="11" t="s">
        <v>67</v>
      </c>
      <c r="D51" s="12">
        <f>(2.39*4*D5)+(1.2*8*D5)</f>
        <v>81761.46800000001</v>
      </c>
    </row>
    <row r="52" spans="1:4" ht="12.75">
      <c r="A52" s="11" t="s">
        <v>68</v>
      </c>
      <c r="D52" s="12">
        <f>(1.41*4*D5)+(3.38*8*D5)</f>
        <v>139455.364</v>
      </c>
    </row>
    <row r="53" spans="1:4" ht="12.75">
      <c r="A53" s="11" t="s">
        <v>69</v>
      </c>
      <c r="D53" s="12">
        <f>(0.29*4*D5)+(0.24*8*D5)</f>
        <v>13143.284</v>
      </c>
    </row>
    <row r="54" spans="1:4" ht="12.75">
      <c r="A54" s="11" t="s">
        <v>110</v>
      </c>
      <c r="D54" s="12">
        <f>(2.63*4*D5)+(3.2*8*D5)</f>
        <v>154134.876</v>
      </c>
    </row>
    <row r="55" spans="1:4" ht="12.75">
      <c r="A55" s="11" t="s">
        <v>70</v>
      </c>
      <c r="D55" s="12">
        <f>2.25*12*D6</f>
        <v>2322</v>
      </c>
    </row>
    <row r="56" spans="1:4" ht="12.75">
      <c r="A56" s="11" t="s">
        <v>71</v>
      </c>
      <c r="D56" s="12">
        <v>230538</v>
      </c>
    </row>
    <row r="57" spans="1:4" ht="12.75">
      <c r="A57" s="11" t="s">
        <v>72</v>
      </c>
      <c r="D57" s="12">
        <f>(4.06*4*D5)+(0.75*8*D5)</f>
        <v>94904.752</v>
      </c>
    </row>
    <row r="58" spans="1:4" ht="12.75" hidden="1">
      <c r="A58" s="14" t="s">
        <v>96</v>
      </c>
      <c r="D58" s="12">
        <v>0</v>
      </c>
    </row>
    <row r="59" spans="1:4" ht="12.75">
      <c r="A59" s="11"/>
      <c r="D59" s="12"/>
    </row>
    <row r="60" spans="1:4" ht="12.75">
      <c r="A60" s="11" t="s">
        <v>73</v>
      </c>
      <c r="D60" s="12">
        <f>D43+D46+D47+D48+D49+D50+D51+D52+D53+D54+D55+D56+D57</f>
        <v>865273.792</v>
      </c>
    </row>
    <row r="61" spans="1:4" ht="12.75">
      <c r="A61" s="11"/>
      <c r="D61" s="12"/>
    </row>
    <row r="62" spans="1:4" ht="12.75">
      <c r="A62" t="s">
        <v>99</v>
      </c>
      <c r="D62" s="12">
        <f>C39-D60</f>
        <v>29956.578000000096</v>
      </c>
    </row>
    <row r="64" spans="1:2" ht="12.75" hidden="1">
      <c r="A64">
        <v>13585</v>
      </c>
      <c r="B64" t="s">
        <v>124</v>
      </c>
    </row>
    <row r="65" spans="1:2" ht="12.75" hidden="1">
      <c r="A65">
        <v>2652</v>
      </c>
      <c r="B65" t="s">
        <v>138</v>
      </c>
    </row>
    <row r="66" spans="1:2" ht="12.75" hidden="1">
      <c r="A66">
        <v>145275</v>
      </c>
      <c r="B66" t="s">
        <v>220</v>
      </c>
    </row>
    <row r="67" spans="1:2" ht="12.75" hidden="1">
      <c r="A67">
        <v>6078</v>
      </c>
      <c r="B67" t="s">
        <v>188</v>
      </c>
    </row>
    <row r="68" ht="12.75" hidden="1"/>
    <row r="69" spans="1:2" ht="12.75" hidden="1">
      <c r="A69">
        <v>4680</v>
      </c>
      <c r="B69" t="s">
        <v>189</v>
      </c>
    </row>
    <row r="70" spans="1:2" ht="12.75" hidden="1">
      <c r="A70">
        <v>657</v>
      </c>
      <c r="B70" t="s">
        <v>18</v>
      </c>
    </row>
    <row r="71" ht="12.75" hidden="1"/>
    <row r="72" spans="1:2" ht="12.75" hidden="1">
      <c r="A72">
        <v>7087</v>
      </c>
      <c r="B72" t="s">
        <v>138</v>
      </c>
    </row>
    <row r="73" ht="12.75" hidden="1"/>
    <row r="74" ht="12.75" hidden="1"/>
    <row r="75" ht="12.75" hidden="1"/>
    <row r="76" spans="1:2" ht="12.75" hidden="1">
      <c r="A76">
        <v>3027</v>
      </c>
      <c r="B76" t="s">
        <v>16</v>
      </c>
    </row>
    <row r="77" spans="1:2" ht="12.75" hidden="1">
      <c r="A77">
        <v>941</v>
      </c>
      <c r="B77" t="s">
        <v>119</v>
      </c>
    </row>
    <row r="78" ht="12.75" hidden="1"/>
    <row r="79" spans="1:2" ht="12.75" hidden="1">
      <c r="A79">
        <v>1750</v>
      </c>
      <c r="B79" t="s">
        <v>126</v>
      </c>
    </row>
    <row r="80" spans="1:2" ht="12.75" hidden="1">
      <c r="A80">
        <v>3803</v>
      </c>
      <c r="B80" t="s">
        <v>150</v>
      </c>
    </row>
    <row r="81" ht="12.75" hidden="1"/>
    <row r="82" ht="12.75" hidden="1"/>
    <row r="83" spans="1:2" ht="12.75" hidden="1">
      <c r="A83">
        <v>2737</v>
      </c>
      <c r="B83" t="s">
        <v>20</v>
      </c>
    </row>
    <row r="84" spans="1:2" ht="12.75" hidden="1">
      <c r="A84">
        <v>2833</v>
      </c>
      <c r="B84" t="s">
        <v>124</v>
      </c>
    </row>
    <row r="85" spans="1:2" ht="12.75" hidden="1">
      <c r="A85">
        <v>6474</v>
      </c>
      <c r="B85" t="s">
        <v>113</v>
      </c>
    </row>
    <row r="86" spans="1:2" ht="12.75" hidden="1">
      <c r="A86">
        <v>28959</v>
      </c>
      <c r="B86" t="s">
        <v>30</v>
      </c>
    </row>
    <row r="87" ht="12.75" hidden="1">
      <c r="A87">
        <f>SUM(A64:A86)</f>
        <v>230538</v>
      </c>
    </row>
    <row r="90" ht="12.75" hidden="1"/>
    <row r="91" ht="12.75" hidden="1"/>
    <row r="92" ht="12.75" hidden="1"/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1:G83"/>
  <sheetViews>
    <sheetView zoomScalePageLayoutView="0" workbookViewId="0" topLeftCell="A35">
      <selection activeCell="A65" sqref="A65:IV84"/>
    </sheetView>
  </sheetViews>
  <sheetFormatPr defaultColWidth="9.140625" defaultRowHeight="12.75"/>
  <cols>
    <col min="2" max="3" width="14.140625" style="0" bestFit="1" customWidth="1"/>
    <col min="4" max="4" width="12.00390625" style="0" bestFit="1" customWidth="1"/>
  </cols>
  <sheetData>
    <row r="1" ht="12.75">
      <c r="A1" t="s">
        <v>8</v>
      </c>
    </row>
    <row r="2" ht="12.75" hidden="1"/>
    <row r="3" spans="1:7" ht="12.75">
      <c r="A3" s="1" t="s">
        <v>34</v>
      </c>
      <c r="B3" s="2" t="s">
        <v>35</v>
      </c>
      <c r="C3" s="1" t="s">
        <v>91</v>
      </c>
      <c r="D3" s="1"/>
      <c r="E3" s="1" t="s">
        <v>36</v>
      </c>
      <c r="F3" s="3">
        <v>10</v>
      </c>
      <c r="G3" s="21">
        <v>2018</v>
      </c>
    </row>
    <row r="5" spans="1:5" ht="12.75">
      <c r="A5" t="s">
        <v>37</v>
      </c>
      <c r="D5" s="4">
        <v>4204.8</v>
      </c>
      <c r="E5" s="5" t="s">
        <v>74</v>
      </c>
    </row>
    <row r="6" spans="1:5" ht="12.75">
      <c r="A6" t="s">
        <v>38</v>
      </c>
      <c r="D6" s="4">
        <v>81</v>
      </c>
      <c r="E6" s="5"/>
    </row>
    <row r="7" spans="1:5" ht="12.75">
      <c r="A7" t="s">
        <v>39</v>
      </c>
      <c r="D7" s="4">
        <v>202</v>
      </c>
      <c r="E7" s="5" t="s">
        <v>40</v>
      </c>
    </row>
    <row r="8" spans="1:5" ht="12.75">
      <c r="A8" t="s">
        <v>41</v>
      </c>
      <c r="D8" s="4">
        <v>468</v>
      </c>
      <c r="E8" s="5" t="s">
        <v>74</v>
      </c>
    </row>
    <row r="9" spans="1:5" ht="12.75">
      <c r="A9" t="s">
        <v>42</v>
      </c>
      <c r="D9" s="4">
        <v>2165</v>
      </c>
      <c r="E9" s="5" t="s">
        <v>74</v>
      </c>
    </row>
    <row r="10" ht="12.75" hidden="1"/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1089239.1600000001</v>
      </c>
      <c r="C13" s="8">
        <f>SUM(C14:C25)</f>
        <v>1039278.1099999999</v>
      </c>
      <c r="D13" s="8">
        <f>SUM(D14:D25)</f>
        <v>49961.04999999999</v>
      </c>
    </row>
    <row r="14" spans="1:4" ht="12.75">
      <c r="A14" s="9" t="s">
        <v>59</v>
      </c>
      <c r="B14" s="8">
        <v>96279.98</v>
      </c>
      <c r="C14" s="8">
        <v>89452.15</v>
      </c>
      <c r="D14" s="8">
        <f aca="true" t="shared" si="0" ref="D14:D25">B14-C14</f>
        <v>6827.830000000002</v>
      </c>
    </row>
    <row r="15" spans="1:4" ht="12.75">
      <c r="A15" s="9" t="s">
        <v>47</v>
      </c>
      <c r="B15" s="8">
        <v>96279.98</v>
      </c>
      <c r="C15" s="13">
        <v>93294.07</v>
      </c>
      <c r="D15" s="8">
        <f t="shared" si="0"/>
        <v>2985.909999999989</v>
      </c>
    </row>
    <row r="16" spans="1:4" ht="12.75">
      <c r="A16" s="9" t="s">
        <v>48</v>
      </c>
      <c r="B16" s="8">
        <v>96279.98</v>
      </c>
      <c r="C16" s="13">
        <v>90164.02</v>
      </c>
      <c r="D16" s="8">
        <f t="shared" si="0"/>
        <v>6115.959999999992</v>
      </c>
    </row>
    <row r="17" spans="1:4" ht="12.75">
      <c r="A17" s="9" t="s">
        <v>49</v>
      </c>
      <c r="B17" s="8">
        <v>96279.98</v>
      </c>
      <c r="C17" s="13">
        <v>87925.25</v>
      </c>
      <c r="D17" s="8">
        <f t="shared" si="0"/>
        <v>8354.729999999996</v>
      </c>
    </row>
    <row r="18" spans="1:4" ht="12.75">
      <c r="A18" s="9" t="s">
        <v>50</v>
      </c>
      <c r="B18" s="8">
        <v>96279.98</v>
      </c>
      <c r="C18" s="13">
        <v>87628.74</v>
      </c>
      <c r="D18" s="8">
        <f t="shared" si="0"/>
        <v>8651.23999999999</v>
      </c>
    </row>
    <row r="19" spans="1:4" ht="12.75">
      <c r="A19" s="9" t="s">
        <v>51</v>
      </c>
      <c r="B19" s="8">
        <v>96279.98</v>
      </c>
      <c r="C19" s="13">
        <v>102999.18</v>
      </c>
      <c r="D19" s="8">
        <f t="shared" si="0"/>
        <v>-6719.199999999997</v>
      </c>
    </row>
    <row r="20" spans="1:4" ht="12.75">
      <c r="A20" s="9" t="s">
        <v>52</v>
      </c>
      <c r="B20" s="8">
        <v>85259.88</v>
      </c>
      <c r="C20" s="13">
        <v>80912.8</v>
      </c>
      <c r="D20" s="8">
        <f t="shared" si="0"/>
        <v>4347.080000000002</v>
      </c>
    </row>
    <row r="21" spans="1:4" ht="12.75">
      <c r="A21" s="9" t="s">
        <v>53</v>
      </c>
      <c r="B21" s="8">
        <v>85259.88</v>
      </c>
      <c r="C21" s="13">
        <v>79354</v>
      </c>
      <c r="D21" s="8">
        <f t="shared" si="0"/>
        <v>5905.880000000005</v>
      </c>
    </row>
    <row r="22" spans="1:4" ht="12.75">
      <c r="A22" s="9" t="s">
        <v>54</v>
      </c>
      <c r="B22" s="8">
        <v>85259.88</v>
      </c>
      <c r="C22" s="13">
        <v>74654</v>
      </c>
      <c r="D22" s="8">
        <f t="shared" si="0"/>
        <v>10605.880000000005</v>
      </c>
    </row>
    <row r="23" spans="1:4" ht="12.75">
      <c r="A23" s="9" t="s">
        <v>55</v>
      </c>
      <c r="B23" s="8">
        <v>85259.88</v>
      </c>
      <c r="C23" s="13">
        <v>87147.99</v>
      </c>
      <c r="D23" s="13">
        <f t="shared" si="0"/>
        <v>-1888.1100000000006</v>
      </c>
    </row>
    <row r="24" spans="1:4" ht="12.75">
      <c r="A24" s="9" t="s">
        <v>56</v>
      </c>
      <c r="B24" s="8">
        <v>85259.88</v>
      </c>
      <c r="C24" s="13">
        <v>79680.47</v>
      </c>
      <c r="D24" s="13">
        <f t="shared" si="0"/>
        <v>5579.4100000000035</v>
      </c>
    </row>
    <row r="25" spans="1:4" ht="12.75">
      <c r="A25" s="9" t="s">
        <v>57</v>
      </c>
      <c r="B25" s="8">
        <v>85259.88</v>
      </c>
      <c r="C25" s="13">
        <v>86065.44</v>
      </c>
      <c r="D25" s="13">
        <f t="shared" si="0"/>
        <v>-805.5599999999977</v>
      </c>
    </row>
    <row r="26" spans="1:4" ht="12.75">
      <c r="A26" s="7" t="s">
        <v>58</v>
      </c>
      <c r="B26" s="8">
        <f>SUM(B27:B38)</f>
        <v>239.04000000000008</v>
      </c>
      <c r="C26" s="8">
        <f>SUM(C27:C38)</f>
        <v>227.03</v>
      </c>
      <c r="D26" s="8">
        <f>SUM(D27:D38)</f>
        <v>12.010000000000016</v>
      </c>
    </row>
    <row r="27" spans="1:4" ht="12.75">
      <c r="A27" s="9" t="s">
        <v>59</v>
      </c>
      <c r="B27" s="8">
        <v>19.92</v>
      </c>
      <c r="C27" s="8">
        <v>19.87</v>
      </c>
      <c r="D27" s="8">
        <f aca="true" t="shared" si="1" ref="D27:D38">B27-C27</f>
        <v>0.05000000000000071</v>
      </c>
    </row>
    <row r="28" spans="1:4" ht="12.75">
      <c r="A28" s="9" t="s">
        <v>47</v>
      </c>
      <c r="B28" s="8">
        <v>19.92</v>
      </c>
      <c r="C28" s="13">
        <v>18.91</v>
      </c>
      <c r="D28" s="8">
        <f t="shared" si="1"/>
        <v>1.0100000000000016</v>
      </c>
    </row>
    <row r="29" spans="1:4" ht="12.75">
      <c r="A29" s="9" t="s">
        <v>48</v>
      </c>
      <c r="B29" s="8">
        <v>19.92</v>
      </c>
      <c r="C29" s="13">
        <v>16.01</v>
      </c>
      <c r="D29" s="8">
        <f t="shared" si="1"/>
        <v>3.91</v>
      </c>
    </row>
    <row r="30" spans="1:4" ht="12.75">
      <c r="A30" s="9" t="s">
        <v>49</v>
      </c>
      <c r="B30" s="8">
        <v>19.92</v>
      </c>
      <c r="C30" s="13">
        <v>18.9</v>
      </c>
      <c r="D30" s="8">
        <f t="shared" si="1"/>
        <v>1.0200000000000031</v>
      </c>
    </row>
    <row r="31" spans="1:4" ht="12.75">
      <c r="A31" s="9" t="s">
        <v>50</v>
      </c>
      <c r="B31" s="8">
        <v>19.92</v>
      </c>
      <c r="C31" s="13">
        <v>15.63</v>
      </c>
      <c r="D31" s="8">
        <f t="shared" si="1"/>
        <v>4.290000000000001</v>
      </c>
    </row>
    <row r="32" spans="1:4" ht="12.75">
      <c r="A32" s="9" t="s">
        <v>51</v>
      </c>
      <c r="B32" s="8">
        <v>19.92</v>
      </c>
      <c r="C32" s="13">
        <v>24.71</v>
      </c>
      <c r="D32" s="8">
        <f t="shared" si="1"/>
        <v>-4.789999999999999</v>
      </c>
    </row>
    <row r="33" spans="1:4" ht="12.75">
      <c r="A33" s="9" t="s">
        <v>52</v>
      </c>
      <c r="B33" s="8">
        <v>19.92</v>
      </c>
      <c r="C33" s="13">
        <v>14.48</v>
      </c>
      <c r="D33" s="8">
        <f t="shared" si="1"/>
        <v>5.440000000000001</v>
      </c>
    </row>
    <row r="34" spans="1:4" ht="12.75">
      <c r="A34" s="9" t="s">
        <v>53</v>
      </c>
      <c r="B34" s="8">
        <v>19.92</v>
      </c>
      <c r="C34" s="13">
        <v>21.52</v>
      </c>
      <c r="D34" s="8">
        <f t="shared" si="1"/>
        <v>-1.5999999999999979</v>
      </c>
    </row>
    <row r="35" spans="1:4" ht="12.75">
      <c r="A35" s="9" t="s">
        <v>54</v>
      </c>
      <c r="B35" s="8">
        <v>19.92</v>
      </c>
      <c r="C35" s="13">
        <v>13.09</v>
      </c>
      <c r="D35" s="8">
        <f t="shared" si="1"/>
        <v>6.830000000000002</v>
      </c>
    </row>
    <row r="36" spans="1:4" ht="12.75">
      <c r="A36" s="9" t="s">
        <v>55</v>
      </c>
      <c r="B36" s="8">
        <v>19.92</v>
      </c>
      <c r="C36" s="13">
        <v>20.16</v>
      </c>
      <c r="D36" s="13">
        <f t="shared" si="1"/>
        <v>-0.23999999999999844</v>
      </c>
    </row>
    <row r="37" spans="1:4" ht="12.75">
      <c r="A37" s="9" t="s">
        <v>56</v>
      </c>
      <c r="B37" s="8">
        <v>19.92</v>
      </c>
      <c r="C37" s="13">
        <v>27.15</v>
      </c>
      <c r="D37" s="13">
        <f t="shared" si="1"/>
        <v>-7.229999999999997</v>
      </c>
    </row>
    <row r="38" spans="1:4" ht="12.75">
      <c r="A38" s="9" t="s">
        <v>57</v>
      </c>
      <c r="B38" s="8">
        <v>19.92</v>
      </c>
      <c r="C38" s="13">
        <v>16.6</v>
      </c>
      <c r="D38" s="13">
        <f t="shared" si="1"/>
        <v>3.3200000000000003</v>
      </c>
    </row>
    <row r="39" spans="1:4" ht="12.75">
      <c r="A39" s="9" t="s">
        <v>60</v>
      </c>
      <c r="B39" s="8">
        <f>B13+B26</f>
        <v>1089478.2000000002</v>
      </c>
      <c r="C39" s="8">
        <f>C13+C26</f>
        <v>1039505.1399999999</v>
      </c>
      <c r="D39" s="8">
        <f>D13+D26</f>
        <v>49973.05999999999</v>
      </c>
    </row>
    <row r="41" spans="1:4" ht="12.75">
      <c r="A41" t="s">
        <v>61</v>
      </c>
      <c r="D41" s="12">
        <f>D39</f>
        <v>49973.05999999999</v>
      </c>
    </row>
    <row r="43" spans="1:4" ht="12.75">
      <c r="A43" s="11" t="s">
        <v>62</v>
      </c>
      <c r="D43" s="12">
        <f>D44+D45</f>
        <v>79218.432</v>
      </c>
    </row>
    <row r="44" spans="1:4" ht="12.75">
      <c r="A44" s="11" t="s">
        <v>63</v>
      </c>
      <c r="D44" s="12">
        <f>(1.33*12*D5)</f>
        <v>67108.60800000001</v>
      </c>
    </row>
    <row r="45" spans="1:4" ht="12.75">
      <c r="A45" s="11" t="s">
        <v>64</v>
      </c>
      <c r="D45" s="12">
        <f>(0.24*12*D5)</f>
        <v>12109.824</v>
      </c>
    </row>
    <row r="46" spans="1:4" ht="12.75">
      <c r="A46" s="11" t="s">
        <v>65</v>
      </c>
      <c r="D46" s="12">
        <v>0</v>
      </c>
    </row>
    <row r="47" spans="1:4" ht="12.75">
      <c r="A47" s="11" t="s">
        <v>109</v>
      </c>
      <c r="D47" s="12">
        <f>1749*0.22*4+(1749*2.5)</f>
        <v>5911.62</v>
      </c>
    </row>
    <row r="48" spans="1:4" ht="12.75">
      <c r="A48" s="11" t="s">
        <v>121</v>
      </c>
      <c r="D48" s="12">
        <f>(2.66*12*D5)</f>
        <v>134217.21600000001</v>
      </c>
    </row>
    <row r="49" spans="1:4" ht="12.75">
      <c r="A49" s="11" t="s">
        <v>66</v>
      </c>
      <c r="D49" s="12">
        <v>0</v>
      </c>
    </row>
    <row r="50" spans="1:4" ht="12.75">
      <c r="A50" s="11" t="s">
        <v>108</v>
      </c>
      <c r="D50" s="12">
        <f>(0.72*3*D5)</f>
        <v>9082.368</v>
      </c>
    </row>
    <row r="51" spans="1:4" ht="12.75">
      <c r="A51" s="11" t="s">
        <v>67</v>
      </c>
      <c r="D51" s="12">
        <f>(1.45*12*D5)</f>
        <v>73163.52</v>
      </c>
    </row>
    <row r="52" spans="1:4" ht="12.75">
      <c r="A52" s="11" t="s">
        <v>68</v>
      </c>
      <c r="D52" s="12">
        <f>(5.83*12*D5)</f>
        <v>294167.808</v>
      </c>
    </row>
    <row r="53" spans="1:4" ht="12.75">
      <c r="A53" s="11" t="s">
        <v>69</v>
      </c>
      <c r="D53" s="12">
        <f>(0.29*12*D5)</f>
        <v>14632.703999999998</v>
      </c>
    </row>
    <row r="54" spans="1:4" ht="12.75">
      <c r="A54" s="11" t="s">
        <v>110</v>
      </c>
      <c r="D54" s="12">
        <f>(3.87*12*D5)</f>
        <v>195270.912</v>
      </c>
    </row>
    <row r="55" spans="1:4" ht="12.75">
      <c r="A55" s="11" t="s">
        <v>70</v>
      </c>
      <c r="D55" s="12">
        <f>2.25*12*D6</f>
        <v>2187</v>
      </c>
    </row>
    <row r="56" spans="1:4" ht="12.75">
      <c r="A56" s="11" t="s">
        <v>71</v>
      </c>
      <c r="D56" s="12">
        <v>69234.25</v>
      </c>
    </row>
    <row r="57" spans="1:4" ht="12.75">
      <c r="A57" s="11" t="s">
        <v>72</v>
      </c>
      <c r="D57" s="12">
        <f>(0.91*12*D5)</f>
        <v>45916.416000000005</v>
      </c>
    </row>
    <row r="58" spans="1:4" ht="12.75" hidden="1">
      <c r="A58" s="14" t="s">
        <v>96</v>
      </c>
      <c r="D58" s="12">
        <v>0</v>
      </c>
    </row>
    <row r="59" spans="1:4" ht="12.75">
      <c r="A59" s="11"/>
      <c r="D59" s="12"/>
    </row>
    <row r="60" spans="1:4" ht="12.75">
      <c r="A60" s="11" t="s">
        <v>73</v>
      </c>
      <c r="D60" s="12">
        <f>D43+D46+D47+D48+D49+D50+D51+D52+D53+D54+D55+D56+D57</f>
        <v>923002.246</v>
      </c>
    </row>
    <row r="61" spans="1:4" ht="12.75">
      <c r="A61" s="11"/>
      <c r="D61" s="12"/>
    </row>
    <row r="62" spans="1:4" ht="12.75">
      <c r="A62" t="s">
        <v>100</v>
      </c>
      <c r="D62" s="12">
        <f>C39-D60</f>
        <v>116502.89399999985</v>
      </c>
    </row>
    <row r="65" spans="2:3" ht="12.75" hidden="1">
      <c r="B65">
        <v>5161</v>
      </c>
      <c r="C65" t="s">
        <v>27</v>
      </c>
    </row>
    <row r="66" spans="2:3" ht="12.75" hidden="1">
      <c r="B66">
        <v>1911</v>
      </c>
      <c r="C66" t="s">
        <v>27</v>
      </c>
    </row>
    <row r="67" spans="2:3" ht="12.75" hidden="1">
      <c r="B67">
        <v>6097</v>
      </c>
      <c r="C67" t="s">
        <v>138</v>
      </c>
    </row>
    <row r="68" spans="2:3" ht="12.75" hidden="1">
      <c r="B68">
        <v>1359</v>
      </c>
      <c r="C68" t="s">
        <v>138</v>
      </c>
    </row>
    <row r="69" spans="2:3" ht="12.75" hidden="1">
      <c r="B69">
        <v>9373</v>
      </c>
      <c r="C69" t="s">
        <v>127</v>
      </c>
    </row>
    <row r="70" spans="2:3" ht="12.75" customHeight="1" hidden="1">
      <c r="B70">
        <v>1854</v>
      </c>
      <c r="C70" t="s">
        <v>193</v>
      </c>
    </row>
    <row r="71" spans="2:3" ht="12.75" hidden="1">
      <c r="B71">
        <v>4863</v>
      </c>
      <c r="C71" t="s">
        <v>193</v>
      </c>
    </row>
    <row r="72" spans="2:3" ht="12.75" hidden="1">
      <c r="B72">
        <v>7297</v>
      </c>
      <c r="C72" t="s">
        <v>27</v>
      </c>
    </row>
    <row r="73" spans="2:3" ht="18.75" customHeight="1" hidden="1">
      <c r="B73">
        <v>9574</v>
      </c>
      <c r="C73" t="s">
        <v>20</v>
      </c>
    </row>
    <row r="74" spans="2:3" ht="14.25" customHeight="1" hidden="1">
      <c r="B74">
        <v>3632</v>
      </c>
      <c r="C74" t="s">
        <v>193</v>
      </c>
    </row>
    <row r="75" spans="2:3" ht="12.75" hidden="1">
      <c r="B75">
        <v>432.75</v>
      </c>
      <c r="C75" t="s">
        <v>24</v>
      </c>
    </row>
    <row r="76" spans="2:3" ht="12.75" hidden="1">
      <c r="B76">
        <v>1952</v>
      </c>
      <c r="C76" t="s">
        <v>193</v>
      </c>
    </row>
    <row r="77" spans="2:3" ht="12.75" hidden="1">
      <c r="B77">
        <v>882</v>
      </c>
      <c r="C77" t="s">
        <v>134</v>
      </c>
    </row>
    <row r="78" spans="2:3" ht="12.75" hidden="1">
      <c r="B78">
        <v>1704</v>
      </c>
      <c r="C78" t="s">
        <v>124</v>
      </c>
    </row>
    <row r="79" spans="2:3" ht="12.75" hidden="1">
      <c r="B79">
        <v>1716</v>
      </c>
      <c r="C79" t="s">
        <v>127</v>
      </c>
    </row>
    <row r="80" spans="2:3" ht="12.75" hidden="1">
      <c r="B80">
        <v>3695</v>
      </c>
      <c r="C80" t="s">
        <v>114</v>
      </c>
    </row>
    <row r="81" spans="2:3" ht="12.75" hidden="1">
      <c r="B81">
        <v>622.5</v>
      </c>
      <c r="C81" t="s">
        <v>112</v>
      </c>
    </row>
    <row r="82" spans="2:3" ht="12.75" hidden="1">
      <c r="B82">
        <v>7109</v>
      </c>
      <c r="C82" t="s">
        <v>215</v>
      </c>
    </row>
    <row r="83" ht="12.75" hidden="1">
      <c r="B83">
        <f>SUM(B65:B82)</f>
        <v>69234.25</v>
      </c>
    </row>
    <row r="84" ht="12.75" hidden="1"/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G86"/>
  <sheetViews>
    <sheetView zoomScalePageLayoutView="0" workbookViewId="0" topLeftCell="A53">
      <selection activeCell="A64" sqref="A64:IV87"/>
    </sheetView>
  </sheetViews>
  <sheetFormatPr defaultColWidth="9.140625" defaultRowHeight="12.75"/>
  <cols>
    <col min="2" max="3" width="14.140625" style="0" bestFit="1" customWidth="1"/>
    <col min="4" max="4" width="14.00390625" style="0" bestFit="1" customWidth="1"/>
  </cols>
  <sheetData>
    <row r="1" ht="12.75">
      <c r="A1" t="s">
        <v>2</v>
      </c>
    </row>
    <row r="2" ht="12.75">
      <c r="A2" t="s">
        <v>1</v>
      </c>
    </row>
    <row r="3" spans="1:7" ht="12.75">
      <c r="A3" s="1" t="s">
        <v>34</v>
      </c>
      <c r="B3" s="2" t="s">
        <v>35</v>
      </c>
      <c r="C3" s="1" t="s">
        <v>77</v>
      </c>
      <c r="D3" s="1"/>
      <c r="E3" s="1" t="s">
        <v>36</v>
      </c>
      <c r="F3" s="3">
        <v>13</v>
      </c>
      <c r="G3" s="21">
        <v>2018</v>
      </c>
    </row>
    <row r="5" spans="1:5" ht="12.75">
      <c r="A5" t="s">
        <v>37</v>
      </c>
      <c r="D5" s="4">
        <v>4115.8</v>
      </c>
      <c r="E5" s="5" t="s">
        <v>74</v>
      </c>
    </row>
    <row r="6" spans="1:5" ht="12.75">
      <c r="A6" t="s">
        <v>38</v>
      </c>
      <c r="D6" s="4">
        <v>92</v>
      </c>
      <c r="E6" s="5"/>
    </row>
    <row r="7" spans="1:5" ht="12.75">
      <c r="A7" t="s">
        <v>39</v>
      </c>
      <c r="D7" s="4">
        <v>208</v>
      </c>
      <c r="E7" s="5" t="s">
        <v>40</v>
      </c>
    </row>
    <row r="8" spans="1:5" ht="12.75">
      <c r="A8" t="s">
        <v>41</v>
      </c>
      <c r="D8" s="4">
        <v>449</v>
      </c>
      <c r="E8" s="5" t="s">
        <v>74</v>
      </c>
    </row>
    <row r="9" spans="1:5" ht="12.75">
      <c r="A9" t="s">
        <v>42</v>
      </c>
      <c r="D9" s="4">
        <v>7746</v>
      </c>
      <c r="E9" s="5" t="s">
        <v>74</v>
      </c>
    </row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1066252.92</v>
      </c>
      <c r="C13" s="8">
        <f>SUM(C14:C25)</f>
        <v>1031428.2200000001</v>
      </c>
      <c r="D13" s="8">
        <f>SUM(D14:D25)</f>
        <v>34824.70000000007</v>
      </c>
    </row>
    <row r="14" spans="1:4" ht="12.75">
      <c r="A14" s="9" t="s">
        <v>59</v>
      </c>
      <c r="B14" s="8">
        <v>94272.49</v>
      </c>
      <c r="C14" s="8">
        <v>83158.37</v>
      </c>
      <c r="D14" s="8">
        <f aca="true" t="shared" si="0" ref="D14:D25">B14-C14</f>
        <v>11114.12000000001</v>
      </c>
    </row>
    <row r="15" spans="1:4" ht="12.75">
      <c r="A15" s="9" t="s">
        <v>47</v>
      </c>
      <c r="B15" s="8">
        <v>94272.49</v>
      </c>
      <c r="C15" s="13">
        <v>90309.61</v>
      </c>
      <c r="D15" s="8">
        <f t="shared" si="0"/>
        <v>3962.8800000000047</v>
      </c>
    </row>
    <row r="16" spans="1:4" ht="12.75">
      <c r="A16" s="9" t="s">
        <v>48</v>
      </c>
      <c r="B16" s="8">
        <v>94272.49</v>
      </c>
      <c r="C16" s="13">
        <v>95149.56</v>
      </c>
      <c r="D16" s="8">
        <f t="shared" si="0"/>
        <v>-877.0699999999924</v>
      </c>
    </row>
    <row r="17" spans="1:4" ht="12.75">
      <c r="A17" s="9" t="s">
        <v>49</v>
      </c>
      <c r="B17" s="8">
        <v>94272.49</v>
      </c>
      <c r="C17" s="13">
        <v>85322.5</v>
      </c>
      <c r="D17" s="8">
        <f t="shared" si="0"/>
        <v>8949.990000000005</v>
      </c>
    </row>
    <row r="18" spans="1:4" ht="12.75">
      <c r="A18" s="9" t="s">
        <v>50</v>
      </c>
      <c r="B18" s="8">
        <v>94272.49</v>
      </c>
      <c r="C18" s="13">
        <v>87900.04</v>
      </c>
      <c r="D18" s="8">
        <f t="shared" si="0"/>
        <v>6372.450000000012</v>
      </c>
    </row>
    <row r="19" spans="1:4" ht="12.75">
      <c r="A19" s="9" t="s">
        <v>51</v>
      </c>
      <c r="B19" s="8">
        <v>94272.49</v>
      </c>
      <c r="C19" s="13">
        <v>84735.55</v>
      </c>
      <c r="D19" s="8">
        <f t="shared" si="0"/>
        <v>9536.940000000002</v>
      </c>
    </row>
    <row r="20" spans="1:4" ht="12.75">
      <c r="A20" s="9" t="s">
        <v>52</v>
      </c>
      <c r="B20" s="8">
        <v>83436.33</v>
      </c>
      <c r="C20" s="13">
        <v>75160.94</v>
      </c>
      <c r="D20" s="8">
        <f t="shared" si="0"/>
        <v>8275.39</v>
      </c>
    </row>
    <row r="21" spans="1:4" ht="12.75">
      <c r="A21" s="9" t="s">
        <v>53</v>
      </c>
      <c r="B21" s="8">
        <v>83436.33</v>
      </c>
      <c r="C21" s="13">
        <v>75176.34</v>
      </c>
      <c r="D21" s="8">
        <f t="shared" si="0"/>
        <v>8259.990000000005</v>
      </c>
    </row>
    <row r="22" spans="1:4" ht="12.75">
      <c r="A22" s="9" t="s">
        <v>54</v>
      </c>
      <c r="B22" s="8">
        <v>83436.33</v>
      </c>
      <c r="C22" s="13">
        <v>89712.68</v>
      </c>
      <c r="D22" s="8">
        <f t="shared" si="0"/>
        <v>-6276.349999999991</v>
      </c>
    </row>
    <row r="23" spans="1:4" ht="12.75">
      <c r="A23" s="9" t="s">
        <v>55</v>
      </c>
      <c r="B23" s="8">
        <v>83436.33</v>
      </c>
      <c r="C23" s="13">
        <v>92600.9</v>
      </c>
      <c r="D23" s="13">
        <f t="shared" si="0"/>
        <v>-9164.569999999992</v>
      </c>
    </row>
    <row r="24" spans="1:4" ht="12.75">
      <c r="A24" s="9" t="s">
        <v>56</v>
      </c>
      <c r="B24" s="8">
        <v>83436.33</v>
      </c>
      <c r="C24" s="13">
        <v>89122.7</v>
      </c>
      <c r="D24" s="13">
        <f t="shared" si="0"/>
        <v>-5686.369999999995</v>
      </c>
    </row>
    <row r="25" spans="1:4" ht="12.75">
      <c r="A25" s="9" t="s">
        <v>57</v>
      </c>
      <c r="B25" s="8">
        <v>83436.33</v>
      </c>
      <c r="C25" s="13">
        <v>83079.03</v>
      </c>
      <c r="D25" s="13">
        <f t="shared" si="0"/>
        <v>357.3000000000029</v>
      </c>
    </row>
    <row r="26" spans="1:4" ht="12.75">
      <c r="A26" s="7" t="s">
        <v>58</v>
      </c>
      <c r="B26" s="8">
        <f>SUM(B27:B38)</f>
        <v>228</v>
      </c>
      <c r="C26" s="8">
        <f>SUM(C27:C38)</f>
        <v>216.44999999999996</v>
      </c>
      <c r="D26" s="8">
        <f>SUM(D27:D38)</f>
        <v>11.549999999999997</v>
      </c>
    </row>
    <row r="27" spans="1:4" ht="12.75">
      <c r="A27" s="9" t="s">
        <v>59</v>
      </c>
      <c r="B27" s="8">
        <v>19</v>
      </c>
      <c r="C27" s="8">
        <v>15.89</v>
      </c>
      <c r="D27" s="8">
        <f aca="true" t="shared" si="1" ref="D27:D38">B27-C27</f>
        <v>3.1099999999999994</v>
      </c>
    </row>
    <row r="28" spans="1:4" ht="12.75">
      <c r="A28" s="9" t="s">
        <v>47</v>
      </c>
      <c r="B28" s="8">
        <v>19</v>
      </c>
      <c r="C28" s="13">
        <v>17.65</v>
      </c>
      <c r="D28" s="8">
        <f t="shared" si="1"/>
        <v>1.3500000000000014</v>
      </c>
    </row>
    <row r="29" spans="1:4" ht="12.75">
      <c r="A29" s="9" t="s">
        <v>48</v>
      </c>
      <c r="B29" s="8">
        <v>19</v>
      </c>
      <c r="C29" s="13">
        <v>21.92</v>
      </c>
      <c r="D29" s="8">
        <f t="shared" si="1"/>
        <v>-2.9200000000000017</v>
      </c>
    </row>
    <row r="30" spans="1:4" ht="12.75">
      <c r="A30" s="9" t="s">
        <v>49</v>
      </c>
      <c r="B30" s="8">
        <v>19</v>
      </c>
      <c r="C30" s="13">
        <v>15.53</v>
      </c>
      <c r="D30" s="8">
        <f t="shared" si="1"/>
        <v>3.4700000000000006</v>
      </c>
    </row>
    <row r="31" spans="1:4" ht="12.75">
      <c r="A31" s="9" t="s">
        <v>50</v>
      </c>
      <c r="B31" s="8">
        <v>19</v>
      </c>
      <c r="C31" s="13">
        <v>14.38</v>
      </c>
      <c r="D31" s="8">
        <f t="shared" si="1"/>
        <v>4.619999999999999</v>
      </c>
    </row>
    <row r="32" spans="1:4" ht="12.75">
      <c r="A32" s="9" t="s">
        <v>51</v>
      </c>
      <c r="B32" s="8">
        <v>19</v>
      </c>
      <c r="C32" s="13">
        <v>13.94</v>
      </c>
      <c r="D32" s="8">
        <f t="shared" si="1"/>
        <v>5.0600000000000005</v>
      </c>
    </row>
    <row r="33" spans="1:4" ht="12.75">
      <c r="A33" s="9" t="s">
        <v>52</v>
      </c>
      <c r="B33" s="8">
        <v>19</v>
      </c>
      <c r="C33" s="13">
        <v>25.48</v>
      </c>
      <c r="D33" s="8">
        <f t="shared" si="1"/>
        <v>-6.48</v>
      </c>
    </row>
    <row r="34" spans="1:4" ht="12.75">
      <c r="A34" s="9" t="s">
        <v>53</v>
      </c>
      <c r="B34" s="8">
        <v>19</v>
      </c>
      <c r="C34" s="13">
        <v>11.09</v>
      </c>
      <c r="D34" s="8">
        <f t="shared" si="1"/>
        <v>7.91</v>
      </c>
    </row>
    <row r="35" spans="1:4" ht="12.75">
      <c r="A35" s="9" t="s">
        <v>54</v>
      </c>
      <c r="B35" s="8">
        <v>19</v>
      </c>
      <c r="C35" s="13">
        <v>17.41</v>
      </c>
      <c r="D35" s="8">
        <f t="shared" si="1"/>
        <v>1.5899999999999999</v>
      </c>
    </row>
    <row r="36" spans="1:4" ht="12.75">
      <c r="A36" s="9" t="s">
        <v>55</v>
      </c>
      <c r="B36" s="8">
        <v>19</v>
      </c>
      <c r="C36" s="13">
        <v>26.36</v>
      </c>
      <c r="D36" s="13">
        <f t="shared" si="1"/>
        <v>-7.359999999999999</v>
      </c>
    </row>
    <row r="37" spans="1:4" ht="12.75">
      <c r="A37" s="9" t="s">
        <v>56</v>
      </c>
      <c r="B37" s="8">
        <v>19</v>
      </c>
      <c r="C37" s="13">
        <v>19.04</v>
      </c>
      <c r="D37" s="13">
        <f t="shared" si="1"/>
        <v>-0.03999999999999915</v>
      </c>
    </row>
    <row r="38" spans="1:4" ht="12.75">
      <c r="A38" s="9" t="s">
        <v>57</v>
      </c>
      <c r="B38" s="8">
        <v>19</v>
      </c>
      <c r="C38" s="13">
        <v>17.76</v>
      </c>
      <c r="D38" s="13">
        <f t="shared" si="1"/>
        <v>1.2399999999999984</v>
      </c>
    </row>
    <row r="39" spans="1:4" ht="12.75">
      <c r="A39" s="9" t="s">
        <v>60</v>
      </c>
      <c r="B39" s="8">
        <f>B13+B26</f>
        <v>1066480.92</v>
      </c>
      <c r="C39" s="8">
        <f>C13+C26</f>
        <v>1031644.67</v>
      </c>
      <c r="D39" s="8">
        <f>D13+D26</f>
        <v>34836.25000000007</v>
      </c>
    </row>
    <row r="41" spans="1:4" ht="12.75">
      <c r="A41" t="s">
        <v>61</v>
      </c>
      <c r="D41" s="12">
        <f>D39</f>
        <v>34836.25000000007</v>
      </c>
    </row>
    <row r="43" spans="1:4" ht="12.75">
      <c r="A43" s="11" t="s">
        <v>62</v>
      </c>
      <c r="D43" s="12">
        <f>D44+D45</f>
        <v>77541.672</v>
      </c>
    </row>
    <row r="44" spans="1:4" ht="12.75">
      <c r="A44" s="11" t="s">
        <v>63</v>
      </c>
      <c r="D44" s="12">
        <f>(1.33*12*D5)</f>
        <v>65688.168</v>
      </c>
    </row>
    <row r="45" spans="1:4" ht="12.75">
      <c r="A45" s="11" t="s">
        <v>64</v>
      </c>
      <c r="D45" s="12">
        <f>(0.24*12*D5)</f>
        <v>11853.504</v>
      </c>
    </row>
    <row r="46" spans="1:4" ht="12.75">
      <c r="A46" s="11" t="s">
        <v>65</v>
      </c>
      <c r="D46" s="12">
        <v>0</v>
      </c>
    </row>
    <row r="47" spans="1:4" ht="12.75">
      <c r="A47" s="11" t="s">
        <v>109</v>
      </c>
      <c r="D47" s="12">
        <f>1654*0.22*4+(1654*2.5)</f>
        <v>5590.52</v>
      </c>
    </row>
    <row r="48" spans="1:4" ht="12.75">
      <c r="A48" s="11" t="s">
        <v>121</v>
      </c>
      <c r="D48" s="12">
        <f>(2.66*12*D5)</f>
        <v>131376.336</v>
      </c>
    </row>
    <row r="49" spans="1:4" ht="12.75" hidden="1">
      <c r="A49" s="11" t="s">
        <v>66</v>
      </c>
      <c r="D49" s="12">
        <v>0</v>
      </c>
    </row>
    <row r="50" spans="1:4" ht="12.75">
      <c r="A50" s="11" t="s">
        <v>108</v>
      </c>
      <c r="D50" s="12">
        <f>(0.72*3*D5)</f>
        <v>8890.128</v>
      </c>
    </row>
    <row r="51" spans="1:4" ht="12.75">
      <c r="A51" s="11" t="s">
        <v>67</v>
      </c>
      <c r="D51" s="12">
        <f>(1.45*12*D5)</f>
        <v>71614.92</v>
      </c>
    </row>
    <row r="52" spans="1:4" ht="12.75">
      <c r="A52" s="11" t="s">
        <v>68</v>
      </c>
      <c r="D52" s="12">
        <f>(5.83*12*D5)</f>
        <v>287941.368</v>
      </c>
    </row>
    <row r="53" spans="1:4" ht="12.75">
      <c r="A53" s="11" t="s">
        <v>69</v>
      </c>
      <c r="D53" s="12">
        <f>(0.29*12*D5)</f>
        <v>14322.983999999999</v>
      </c>
    </row>
    <row r="54" spans="1:4" ht="12.75">
      <c r="A54" s="11" t="s">
        <v>110</v>
      </c>
      <c r="D54" s="12">
        <f>(3.87*12*D5)</f>
        <v>191137.752</v>
      </c>
    </row>
    <row r="55" spans="1:4" ht="12.75">
      <c r="A55" s="11" t="s">
        <v>70</v>
      </c>
      <c r="D55" s="12">
        <f>2.25*12*D6</f>
        <v>2484</v>
      </c>
    </row>
    <row r="56" spans="1:4" ht="12.75">
      <c r="A56" s="11" t="s">
        <v>71</v>
      </c>
      <c r="D56" s="12">
        <v>141653.3</v>
      </c>
    </row>
    <row r="57" spans="1:4" ht="12.75">
      <c r="A57" s="11" t="s">
        <v>72</v>
      </c>
      <c r="D57" s="12">
        <f>(0.91*12*D5)</f>
        <v>44944.536</v>
      </c>
    </row>
    <row r="58" spans="1:4" ht="12.75" hidden="1">
      <c r="A58" s="14" t="s">
        <v>96</v>
      </c>
      <c r="D58" s="12">
        <v>0</v>
      </c>
    </row>
    <row r="59" spans="1:4" ht="12.75">
      <c r="A59" s="11"/>
      <c r="D59" s="12"/>
    </row>
    <row r="60" spans="1:4" ht="12.75">
      <c r="A60" s="11" t="s">
        <v>73</v>
      </c>
      <c r="D60" s="12">
        <f>D43+D46+D47+D48+D49+D50+D51+D52+D53+D54+D55+D56+D57</f>
        <v>977497.516</v>
      </c>
    </row>
    <row r="61" spans="1:4" ht="12.75">
      <c r="A61" s="11"/>
      <c r="D61" s="12"/>
    </row>
    <row r="62" spans="1:4" ht="12.75">
      <c r="A62" t="s">
        <v>99</v>
      </c>
      <c r="D62" s="12">
        <f>C39-D60</f>
        <v>54147.1540000001</v>
      </c>
    </row>
    <row r="64" spans="1:2" ht="12.75" hidden="1">
      <c r="A64">
        <v>2433</v>
      </c>
      <c r="B64" t="s">
        <v>166</v>
      </c>
    </row>
    <row r="65" spans="1:2" ht="12.75" hidden="1">
      <c r="A65">
        <v>5994</v>
      </c>
      <c r="B65" t="s">
        <v>28</v>
      </c>
    </row>
    <row r="66" spans="1:2" ht="12.75" hidden="1">
      <c r="A66">
        <v>5026</v>
      </c>
      <c r="B66" t="s">
        <v>29</v>
      </c>
    </row>
    <row r="67" spans="1:2" ht="12.75" hidden="1">
      <c r="A67">
        <v>11821</v>
      </c>
      <c r="B67" t="s">
        <v>17</v>
      </c>
    </row>
    <row r="68" spans="1:2" ht="12.75" hidden="1">
      <c r="A68">
        <v>9587</v>
      </c>
      <c r="B68" t="s">
        <v>127</v>
      </c>
    </row>
    <row r="69" spans="1:2" ht="12.75" hidden="1">
      <c r="A69">
        <v>365</v>
      </c>
      <c r="B69" t="s">
        <v>27</v>
      </c>
    </row>
    <row r="70" spans="1:2" ht="12.75" hidden="1">
      <c r="A70">
        <v>879</v>
      </c>
      <c r="B70" t="s">
        <v>204</v>
      </c>
    </row>
    <row r="71" spans="1:2" ht="12.75" hidden="1">
      <c r="A71">
        <v>62799</v>
      </c>
      <c r="B71" t="s">
        <v>127</v>
      </c>
    </row>
    <row r="72" spans="1:2" ht="12.75" hidden="1">
      <c r="A72">
        <v>1510</v>
      </c>
      <c r="B72" t="s">
        <v>31</v>
      </c>
    </row>
    <row r="73" spans="1:2" ht="12.75" hidden="1">
      <c r="A73">
        <v>1154</v>
      </c>
      <c r="B73" t="s">
        <v>27</v>
      </c>
    </row>
    <row r="74" spans="1:2" ht="12.75" hidden="1">
      <c r="A74">
        <v>1221</v>
      </c>
      <c r="B74" t="s">
        <v>172</v>
      </c>
    </row>
    <row r="75" spans="1:2" ht="12.75" hidden="1">
      <c r="A75">
        <v>463</v>
      </c>
      <c r="B75" t="s">
        <v>142</v>
      </c>
    </row>
    <row r="76" spans="1:2" ht="12.75" hidden="1">
      <c r="A76">
        <v>5301</v>
      </c>
      <c r="B76" t="s">
        <v>143</v>
      </c>
    </row>
    <row r="77" spans="1:2" ht="12.75" hidden="1">
      <c r="A77">
        <v>1416</v>
      </c>
      <c r="B77" t="s">
        <v>138</v>
      </c>
    </row>
    <row r="78" spans="1:2" ht="12.75" hidden="1">
      <c r="A78">
        <v>3214</v>
      </c>
      <c r="B78" t="s">
        <v>138</v>
      </c>
    </row>
    <row r="79" spans="1:2" ht="12.75" hidden="1">
      <c r="A79">
        <v>717.33</v>
      </c>
      <c r="B79" t="s">
        <v>24</v>
      </c>
    </row>
    <row r="80" spans="1:2" ht="12.75" hidden="1">
      <c r="A80">
        <v>3792</v>
      </c>
      <c r="B80" t="s">
        <v>119</v>
      </c>
    </row>
    <row r="81" spans="1:2" ht="12.75" hidden="1">
      <c r="A81">
        <v>1766</v>
      </c>
      <c r="B81" t="s">
        <v>123</v>
      </c>
    </row>
    <row r="82" spans="1:2" ht="12.75" hidden="1">
      <c r="A82">
        <v>966.33</v>
      </c>
      <c r="B82" t="s">
        <v>24</v>
      </c>
    </row>
    <row r="83" spans="1:2" ht="12.75" hidden="1">
      <c r="A83">
        <v>17519</v>
      </c>
      <c r="B83" t="s">
        <v>215</v>
      </c>
    </row>
    <row r="84" spans="1:2" ht="12.75" hidden="1">
      <c r="A84">
        <v>2661</v>
      </c>
      <c r="B84" t="s">
        <v>162</v>
      </c>
    </row>
    <row r="85" spans="1:2" ht="12.75" hidden="1">
      <c r="A85">
        <v>1048.67</v>
      </c>
      <c r="B85" t="s">
        <v>112</v>
      </c>
    </row>
    <row r="86" ht="12.75" hidden="1">
      <c r="A86">
        <f>SUM(A64:A85)</f>
        <v>141653.33000000002</v>
      </c>
    </row>
    <row r="87" ht="12.75" hidden="1"/>
  </sheetData>
  <sheetProtection/>
  <printOptions/>
  <pageMargins left="0.3937007874015748" right="0.1968503937007874" top="0" bottom="0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1:G81"/>
  <sheetViews>
    <sheetView zoomScalePageLayoutView="0" workbookViewId="0" topLeftCell="A30">
      <selection activeCell="I104" sqref="I104"/>
    </sheetView>
  </sheetViews>
  <sheetFormatPr defaultColWidth="9.140625" defaultRowHeight="12.75"/>
  <cols>
    <col min="2" max="3" width="14.140625" style="0" bestFit="1" customWidth="1"/>
    <col min="4" max="4" width="12.00390625" style="0" bestFit="1" customWidth="1"/>
  </cols>
  <sheetData>
    <row r="1" ht="12.75">
      <c r="A1" t="s">
        <v>8</v>
      </c>
    </row>
    <row r="3" spans="1:7" ht="12.75">
      <c r="A3" s="1" t="s">
        <v>34</v>
      </c>
      <c r="B3" s="2" t="s">
        <v>35</v>
      </c>
      <c r="C3" s="1" t="s">
        <v>91</v>
      </c>
      <c r="D3" s="1"/>
      <c r="E3" s="1" t="s">
        <v>36</v>
      </c>
      <c r="F3" s="3">
        <v>12</v>
      </c>
      <c r="G3" s="21">
        <v>2018</v>
      </c>
    </row>
    <row r="5" spans="1:5" ht="12.75">
      <c r="A5" t="s">
        <v>37</v>
      </c>
      <c r="D5" s="4">
        <v>4263.9</v>
      </c>
      <c r="E5" s="5" t="s">
        <v>74</v>
      </c>
    </row>
    <row r="6" spans="1:5" ht="12.75">
      <c r="A6" t="s">
        <v>38</v>
      </c>
      <c r="D6" s="4">
        <v>81</v>
      </c>
      <c r="E6" s="5"/>
    </row>
    <row r="7" spans="1:5" ht="12.75">
      <c r="A7" t="s">
        <v>39</v>
      </c>
      <c r="D7" s="4">
        <v>184</v>
      </c>
      <c r="E7" s="5" t="s">
        <v>40</v>
      </c>
    </row>
    <row r="8" spans="1:5" ht="12.75">
      <c r="A8" t="s">
        <v>41</v>
      </c>
      <c r="D8" s="4">
        <v>540.1</v>
      </c>
      <c r="E8" s="5" t="s">
        <v>74</v>
      </c>
    </row>
    <row r="9" spans="1:5" ht="12.75">
      <c r="A9" t="s">
        <v>42</v>
      </c>
      <c r="D9" s="4">
        <v>8133</v>
      </c>
      <c r="E9" s="5" t="s">
        <v>74</v>
      </c>
    </row>
    <row r="10" ht="12.75" hidden="1"/>
    <row r="11" ht="12.75" hidden="1"/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1104081.38</v>
      </c>
      <c r="C13" s="8">
        <f>SUM(C14:C25)</f>
        <v>1103433.03</v>
      </c>
      <c r="D13" s="8">
        <f>SUM(D14:D25)</f>
        <v>648.3500000000058</v>
      </c>
    </row>
    <row r="14" spans="1:4" ht="12.75">
      <c r="A14" s="9" t="s">
        <v>59</v>
      </c>
      <c r="B14" s="8">
        <v>97984.44</v>
      </c>
      <c r="C14" s="8">
        <v>93439.79</v>
      </c>
      <c r="D14" s="8">
        <f aca="true" t="shared" si="0" ref="D14:D25">B14-C14</f>
        <v>4544.650000000009</v>
      </c>
    </row>
    <row r="15" spans="1:4" ht="12.75">
      <c r="A15" s="9" t="s">
        <v>47</v>
      </c>
      <c r="B15" s="8">
        <v>97984.44</v>
      </c>
      <c r="C15" s="13">
        <v>92198.53</v>
      </c>
      <c r="D15" s="8">
        <f t="shared" si="0"/>
        <v>5785.9100000000035</v>
      </c>
    </row>
    <row r="16" spans="1:4" ht="12.75">
      <c r="A16" s="9" t="s">
        <v>48</v>
      </c>
      <c r="B16" s="8">
        <v>97984.44</v>
      </c>
      <c r="C16" s="13">
        <v>93131.85</v>
      </c>
      <c r="D16" s="8">
        <f t="shared" si="0"/>
        <v>4852.5899999999965</v>
      </c>
    </row>
    <row r="17" spans="1:4" ht="12.75">
      <c r="A17" s="9" t="s">
        <v>49</v>
      </c>
      <c r="B17" s="8">
        <v>97984.44</v>
      </c>
      <c r="C17" s="13">
        <v>95127.02</v>
      </c>
      <c r="D17" s="8">
        <f t="shared" si="0"/>
        <v>2857.4199999999983</v>
      </c>
    </row>
    <row r="18" spans="1:4" ht="12.75">
      <c r="A18" s="9" t="s">
        <v>50</v>
      </c>
      <c r="B18" s="8">
        <v>97984.44</v>
      </c>
      <c r="C18" s="13">
        <v>92807.79</v>
      </c>
      <c r="D18" s="8">
        <f t="shared" si="0"/>
        <v>5176.650000000009</v>
      </c>
    </row>
    <row r="19" spans="1:4" ht="12.75">
      <c r="A19" s="9" t="s">
        <v>51</v>
      </c>
      <c r="B19" s="8">
        <v>97275.8</v>
      </c>
      <c r="C19" s="13">
        <v>101468.51</v>
      </c>
      <c r="D19" s="8">
        <f t="shared" si="0"/>
        <v>-4192.709999999992</v>
      </c>
    </row>
    <row r="20" spans="1:4" ht="12.75">
      <c r="A20" s="9" t="s">
        <v>52</v>
      </c>
      <c r="B20" s="8">
        <v>86147.23</v>
      </c>
      <c r="C20" s="13">
        <v>101649.47</v>
      </c>
      <c r="D20" s="8">
        <f t="shared" si="0"/>
        <v>-15502.240000000005</v>
      </c>
    </row>
    <row r="21" spans="1:4" ht="12.75">
      <c r="A21" s="9" t="s">
        <v>53</v>
      </c>
      <c r="B21" s="8">
        <v>86147.23</v>
      </c>
      <c r="C21" s="13">
        <v>83799.6</v>
      </c>
      <c r="D21" s="8">
        <f t="shared" si="0"/>
        <v>2347.62999999999</v>
      </c>
    </row>
    <row r="22" spans="1:4" ht="12.75">
      <c r="A22" s="9" t="s">
        <v>54</v>
      </c>
      <c r="B22" s="8">
        <v>86147.23</v>
      </c>
      <c r="C22" s="13">
        <v>87698.65</v>
      </c>
      <c r="D22" s="8">
        <f t="shared" si="0"/>
        <v>-1551.4199999999983</v>
      </c>
    </row>
    <row r="23" spans="1:4" ht="12.75">
      <c r="A23" s="9" t="s">
        <v>55</v>
      </c>
      <c r="B23" s="8">
        <v>86147.23</v>
      </c>
      <c r="C23" s="13">
        <v>91380.65</v>
      </c>
      <c r="D23" s="13">
        <f t="shared" si="0"/>
        <v>-5233.419999999998</v>
      </c>
    </row>
    <row r="24" spans="1:4" ht="12.75">
      <c r="A24" s="9" t="s">
        <v>56</v>
      </c>
      <c r="B24" s="8">
        <v>86147.23</v>
      </c>
      <c r="C24" s="13">
        <v>86280.49</v>
      </c>
      <c r="D24" s="13">
        <f t="shared" si="0"/>
        <v>-133.2600000000093</v>
      </c>
    </row>
    <row r="25" spans="1:4" ht="12.75">
      <c r="A25" s="9" t="s">
        <v>57</v>
      </c>
      <c r="B25" s="8">
        <v>86147.23</v>
      </c>
      <c r="C25" s="13">
        <v>84450.68</v>
      </c>
      <c r="D25" s="13">
        <f t="shared" si="0"/>
        <v>1696.550000000003</v>
      </c>
    </row>
    <row r="26" spans="1:4" ht="12.75">
      <c r="A26" s="7" t="s">
        <v>58</v>
      </c>
      <c r="B26" s="8">
        <f>SUM(B27:B38)</f>
        <v>213</v>
      </c>
      <c r="C26" s="8">
        <f>SUM(C27:C38)</f>
        <v>213</v>
      </c>
      <c r="D26" s="8">
        <f>SUM(D27:D38)</f>
        <v>0</v>
      </c>
    </row>
    <row r="27" spans="1:4" ht="12.75">
      <c r="A27" s="9" t="s">
        <v>59</v>
      </c>
      <c r="B27" s="8">
        <v>17.75</v>
      </c>
      <c r="C27" s="8">
        <v>17.75</v>
      </c>
      <c r="D27" s="8">
        <f aca="true" t="shared" si="1" ref="D27:D38">B27-C27</f>
        <v>0</v>
      </c>
    </row>
    <row r="28" spans="1:4" ht="12.75">
      <c r="A28" s="9" t="s">
        <v>47</v>
      </c>
      <c r="B28" s="8">
        <v>17.75</v>
      </c>
      <c r="C28" s="8">
        <v>17.75</v>
      </c>
      <c r="D28" s="8">
        <f t="shared" si="1"/>
        <v>0</v>
      </c>
    </row>
    <row r="29" spans="1:4" ht="12.75">
      <c r="A29" s="9" t="s">
        <v>48</v>
      </c>
      <c r="B29" s="8">
        <v>17.75</v>
      </c>
      <c r="C29" s="8">
        <v>17.75</v>
      </c>
      <c r="D29" s="8">
        <f t="shared" si="1"/>
        <v>0</v>
      </c>
    </row>
    <row r="30" spans="1:4" ht="12.75">
      <c r="A30" s="9" t="s">
        <v>49</v>
      </c>
      <c r="B30" s="8">
        <v>17.75</v>
      </c>
      <c r="C30" s="8">
        <v>17.75</v>
      </c>
      <c r="D30" s="8">
        <f t="shared" si="1"/>
        <v>0</v>
      </c>
    </row>
    <row r="31" spans="1:4" ht="12.75">
      <c r="A31" s="9" t="s">
        <v>50</v>
      </c>
      <c r="B31" s="8">
        <v>17.75</v>
      </c>
      <c r="C31" s="8">
        <v>17.75</v>
      </c>
      <c r="D31" s="8">
        <f t="shared" si="1"/>
        <v>0</v>
      </c>
    </row>
    <row r="32" spans="1:4" ht="12.75">
      <c r="A32" s="9" t="s">
        <v>51</v>
      </c>
      <c r="B32" s="8">
        <v>17.75</v>
      </c>
      <c r="C32" s="8">
        <v>17.75</v>
      </c>
      <c r="D32" s="8">
        <f t="shared" si="1"/>
        <v>0</v>
      </c>
    </row>
    <row r="33" spans="1:4" ht="12.75">
      <c r="A33" s="9" t="s">
        <v>52</v>
      </c>
      <c r="B33" s="8">
        <v>17.75</v>
      </c>
      <c r="C33" s="8">
        <v>17.75</v>
      </c>
      <c r="D33" s="8">
        <f t="shared" si="1"/>
        <v>0</v>
      </c>
    </row>
    <row r="34" spans="1:4" ht="12.75">
      <c r="A34" s="9" t="s">
        <v>53</v>
      </c>
      <c r="B34" s="8">
        <v>17.75</v>
      </c>
      <c r="C34" s="8">
        <v>17.75</v>
      </c>
      <c r="D34" s="8">
        <f t="shared" si="1"/>
        <v>0</v>
      </c>
    </row>
    <row r="35" spans="1:4" ht="12.75">
      <c r="A35" s="9" t="s">
        <v>54</v>
      </c>
      <c r="B35" s="8">
        <v>17.75</v>
      </c>
      <c r="C35" s="8">
        <v>17.75</v>
      </c>
      <c r="D35" s="8">
        <f t="shared" si="1"/>
        <v>0</v>
      </c>
    </row>
    <row r="36" spans="1:4" ht="12.75">
      <c r="A36" s="9" t="s">
        <v>55</v>
      </c>
      <c r="B36" s="8">
        <v>17.75</v>
      </c>
      <c r="C36" s="8">
        <v>17.75</v>
      </c>
      <c r="D36" s="13">
        <f t="shared" si="1"/>
        <v>0</v>
      </c>
    </row>
    <row r="37" spans="1:4" ht="12.75">
      <c r="A37" s="9" t="s">
        <v>56</v>
      </c>
      <c r="B37" s="8">
        <v>17.75</v>
      </c>
      <c r="C37" s="8">
        <v>17.75</v>
      </c>
      <c r="D37" s="13">
        <f t="shared" si="1"/>
        <v>0</v>
      </c>
    </row>
    <row r="38" spans="1:4" ht="12.75">
      <c r="A38" s="9" t="s">
        <v>57</v>
      </c>
      <c r="B38" s="8">
        <v>17.75</v>
      </c>
      <c r="C38" s="8">
        <v>17.75</v>
      </c>
      <c r="D38" s="13">
        <f t="shared" si="1"/>
        <v>0</v>
      </c>
    </row>
    <row r="39" spans="1:4" ht="12.75">
      <c r="A39" s="9" t="s">
        <v>60</v>
      </c>
      <c r="B39" s="8">
        <f>B13+B26</f>
        <v>1104294.38</v>
      </c>
      <c r="C39" s="8">
        <f>C13+C26</f>
        <v>1103646.03</v>
      </c>
      <c r="D39" s="8">
        <f>D13+D26</f>
        <v>648.3500000000058</v>
      </c>
    </row>
    <row r="41" spans="1:4" ht="12.75">
      <c r="A41" t="s">
        <v>61</v>
      </c>
      <c r="D41" s="12">
        <f>D39</f>
        <v>648.3500000000058</v>
      </c>
    </row>
    <row r="43" spans="1:4" ht="12.75">
      <c r="A43" s="11" t="s">
        <v>62</v>
      </c>
      <c r="D43" s="12">
        <f>D44+D45</f>
        <v>80331.87599999999</v>
      </c>
    </row>
    <row r="44" spans="1:4" ht="12.75">
      <c r="A44" s="11" t="s">
        <v>63</v>
      </c>
      <c r="D44" s="12">
        <f>(1.33*12*D5)</f>
        <v>68051.844</v>
      </c>
    </row>
    <row r="45" spans="1:4" ht="12.75">
      <c r="A45" s="11" t="s">
        <v>64</v>
      </c>
      <c r="D45" s="12">
        <f>(0.24*12*D5)</f>
        <v>12280.032</v>
      </c>
    </row>
    <row r="46" spans="1:4" ht="12.75">
      <c r="A46" s="11" t="s">
        <v>65</v>
      </c>
      <c r="D46" s="12">
        <v>0</v>
      </c>
    </row>
    <row r="47" spans="1:4" ht="12.75">
      <c r="A47" s="11" t="s">
        <v>109</v>
      </c>
      <c r="D47" s="12">
        <f>1723*0.22*4+(1723*2.5)</f>
        <v>5823.74</v>
      </c>
    </row>
    <row r="48" spans="1:4" ht="12.75">
      <c r="A48" s="11" t="s">
        <v>121</v>
      </c>
      <c r="D48" s="12">
        <f>(2.66*12*D5)</f>
        <v>136103.688</v>
      </c>
    </row>
    <row r="49" spans="1:4" ht="12.75">
      <c r="A49" s="11" t="s">
        <v>66</v>
      </c>
      <c r="D49" s="12">
        <v>0</v>
      </c>
    </row>
    <row r="50" spans="1:4" ht="12.75">
      <c r="A50" s="11" t="s">
        <v>108</v>
      </c>
      <c r="D50" s="12">
        <f>(0.72*3*D5)</f>
        <v>9210.024</v>
      </c>
    </row>
    <row r="51" spans="1:4" ht="12.75">
      <c r="A51" s="11" t="s">
        <v>67</v>
      </c>
      <c r="D51" s="12">
        <f>(1.45*12*D5)</f>
        <v>74191.85999999999</v>
      </c>
    </row>
    <row r="52" spans="1:4" ht="12.75">
      <c r="A52" s="11" t="s">
        <v>68</v>
      </c>
      <c r="D52" s="12">
        <f>(5.83*12*D5)+50000</f>
        <v>348302.444</v>
      </c>
    </row>
    <row r="53" spans="1:4" ht="12.75">
      <c r="A53" s="11" t="s">
        <v>69</v>
      </c>
      <c r="D53" s="12">
        <f>(0.29*12*D5)</f>
        <v>14838.371999999998</v>
      </c>
    </row>
    <row r="54" spans="1:4" ht="12.75">
      <c r="A54" s="11" t="s">
        <v>110</v>
      </c>
      <c r="D54" s="12">
        <f>(3.87*12*D5)</f>
        <v>198015.51599999997</v>
      </c>
    </row>
    <row r="55" spans="1:4" ht="12.75">
      <c r="A55" s="11" t="s">
        <v>70</v>
      </c>
      <c r="D55" s="12">
        <f>(2.25*12*D6)</f>
        <v>2187</v>
      </c>
    </row>
    <row r="56" spans="1:4" ht="12.75">
      <c r="A56" s="11" t="s">
        <v>71</v>
      </c>
      <c r="D56" s="12">
        <v>62074.25</v>
      </c>
    </row>
    <row r="57" spans="1:4" ht="12.75">
      <c r="A57" s="11" t="s">
        <v>72</v>
      </c>
      <c r="D57" s="12">
        <f>(0.91*12*D5)</f>
        <v>46561.78799999999</v>
      </c>
    </row>
    <row r="58" spans="1:4" ht="12.75" hidden="1">
      <c r="A58" s="14" t="s">
        <v>96</v>
      </c>
      <c r="D58" s="12">
        <v>0</v>
      </c>
    </row>
    <row r="59" spans="1:4" ht="12.75">
      <c r="A59" s="11"/>
      <c r="D59" s="12"/>
    </row>
    <row r="60" spans="1:4" ht="12.75">
      <c r="A60" s="11" t="s">
        <v>73</v>
      </c>
      <c r="D60" s="12">
        <f>D43+D46+D47+D48+D49+D50+D51+D52+D53+D54+D55+D56+D57</f>
        <v>977640.5579999998</v>
      </c>
    </row>
    <row r="61" spans="1:4" ht="12.75">
      <c r="A61" s="11"/>
      <c r="D61" s="12"/>
    </row>
    <row r="62" spans="1:4" ht="12.75">
      <c r="A62" t="s">
        <v>100</v>
      </c>
      <c r="D62" s="12">
        <f>C39-D60</f>
        <v>126005.47200000018</v>
      </c>
    </row>
    <row r="64" spans="1:2" ht="12.75" hidden="1">
      <c r="A64">
        <v>1333</v>
      </c>
      <c r="B64" t="s">
        <v>27</v>
      </c>
    </row>
    <row r="65" spans="1:2" ht="12.75" hidden="1">
      <c r="A65">
        <v>1398</v>
      </c>
      <c r="B65" t="s">
        <v>127</v>
      </c>
    </row>
    <row r="66" spans="1:2" ht="12.75" hidden="1">
      <c r="A66">
        <v>1151</v>
      </c>
      <c r="B66" t="s">
        <v>27</v>
      </c>
    </row>
    <row r="67" spans="1:2" ht="12.75" hidden="1">
      <c r="A67">
        <v>3635</v>
      </c>
      <c r="B67" t="s">
        <v>126</v>
      </c>
    </row>
    <row r="68" spans="1:2" ht="12.75" hidden="1">
      <c r="A68">
        <v>2568</v>
      </c>
      <c r="B68" t="s">
        <v>126</v>
      </c>
    </row>
    <row r="69" spans="1:2" ht="12.75" hidden="1">
      <c r="A69">
        <v>12556</v>
      </c>
      <c r="B69" t="s">
        <v>141</v>
      </c>
    </row>
    <row r="70" spans="1:2" ht="12.75" hidden="1">
      <c r="A70">
        <v>1862</v>
      </c>
      <c r="B70" t="s">
        <v>119</v>
      </c>
    </row>
    <row r="71" spans="1:2" ht="12.75" hidden="1">
      <c r="A71">
        <v>461</v>
      </c>
      <c r="B71" t="s">
        <v>202</v>
      </c>
    </row>
    <row r="72" spans="1:2" ht="12.75" hidden="1">
      <c r="A72">
        <v>1921</v>
      </c>
      <c r="B72" t="s">
        <v>23</v>
      </c>
    </row>
    <row r="73" spans="1:2" ht="12.75" hidden="1">
      <c r="A73">
        <v>5297</v>
      </c>
      <c r="B73" t="s">
        <v>143</v>
      </c>
    </row>
    <row r="74" spans="1:2" ht="12.75" hidden="1">
      <c r="A74">
        <v>7034</v>
      </c>
      <c r="B74" t="s">
        <v>126</v>
      </c>
    </row>
    <row r="75" spans="1:2" ht="12.75" hidden="1">
      <c r="A75">
        <v>432.75</v>
      </c>
      <c r="B75" t="s">
        <v>24</v>
      </c>
    </row>
    <row r="76" spans="1:2" ht="12.75" hidden="1">
      <c r="A76">
        <v>7443</v>
      </c>
      <c r="B76" t="s">
        <v>20</v>
      </c>
    </row>
    <row r="77" spans="1:2" ht="12.75" hidden="1">
      <c r="A77">
        <v>498</v>
      </c>
      <c r="B77" t="s">
        <v>124</v>
      </c>
    </row>
    <row r="78" spans="1:2" ht="12.75" hidden="1">
      <c r="A78">
        <v>5007</v>
      </c>
      <c r="B78" t="s">
        <v>126</v>
      </c>
    </row>
    <row r="79" spans="1:2" ht="12.75" hidden="1">
      <c r="A79">
        <v>622.5</v>
      </c>
      <c r="B79" t="s">
        <v>112</v>
      </c>
    </row>
    <row r="80" spans="1:2" ht="12.75" hidden="1">
      <c r="A80">
        <v>8855</v>
      </c>
      <c r="B80" t="s">
        <v>215</v>
      </c>
    </row>
    <row r="81" ht="12.75" hidden="1">
      <c r="A81">
        <f>SUM(A64:A80)</f>
        <v>62074.25</v>
      </c>
    </row>
    <row r="82" ht="12.75" hidden="1"/>
  </sheetData>
  <sheetProtection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</sheetPr>
  <dimension ref="A1:G78"/>
  <sheetViews>
    <sheetView zoomScalePageLayoutView="0" workbookViewId="0" topLeftCell="A28">
      <selection activeCell="A65" sqref="A65:IV80"/>
    </sheetView>
  </sheetViews>
  <sheetFormatPr defaultColWidth="9.140625" defaultRowHeight="12.75"/>
  <cols>
    <col min="2" max="3" width="12.421875" style="0" bestFit="1" customWidth="1"/>
    <col min="4" max="4" width="12.28125" style="0" bestFit="1" customWidth="1"/>
    <col min="5" max="5" width="5.00390625" style="0" bestFit="1" customWidth="1"/>
    <col min="6" max="6" width="3.00390625" style="0" bestFit="1" customWidth="1"/>
  </cols>
  <sheetData>
    <row r="1" ht="12.75">
      <c r="A1" t="s">
        <v>7</v>
      </c>
    </row>
    <row r="3" spans="1:7" ht="12.75">
      <c r="A3" s="1" t="s">
        <v>34</v>
      </c>
      <c r="B3" s="2" t="s">
        <v>35</v>
      </c>
      <c r="C3" s="1" t="s">
        <v>91</v>
      </c>
      <c r="D3" s="1"/>
      <c r="E3" s="1" t="s">
        <v>36</v>
      </c>
      <c r="F3" s="3">
        <v>14</v>
      </c>
      <c r="G3" s="21">
        <v>2018</v>
      </c>
    </row>
    <row r="5" spans="1:5" ht="12.75">
      <c r="A5" t="s">
        <v>37</v>
      </c>
      <c r="D5" s="4">
        <v>3178.8</v>
      </c>
      <c r="E5" s="5" t="s">
        <v>74</v>
      </c>
    </row>
    <row r="6" spans="1:5" ht="12.75">
      <c r="A6" t="s">
        <v>38</v>
      </c>
      <c r="D6" s="4">
        <v>60</v>
      </c>
      <c r="E6" s="5"/>
    </row>
    <row r="7" spans="1:5" ht="12.75">
      <c r="A7" t="s">
        <v>39</v>
      </c>
      <c r="D7" s="4">
        <v>133</v>
      </c>
      <c r="E7" s="5" t="s">
        <v>40</v>
      </c>
    </row>
    <row r="8" spans="1:5" ht="12.75">
      <c r="A8" t="s">
        <v>41</v>
      </c>
      <c r="D8" s="4">
        <v>411.9</v>
      </c>
      <c r="E8" s="5" t="s">
        <v>74</v>
      </c>
    </row>
    <row r="9" spans="1:5" ht="12.75">
      <c r="A9" t="s">
        <v>42</v>
      </c>
      <c r="D9" s="4">
        <v>3386</v>
      </c>
      <c r="E9" s="5" t="s">
        <v>74</v>
      </c>
    </row>
    <row r="12" spans="2:4" ht="13.5" customHeight="1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826615.56</v>
      </c>
      <c r="C13" s="8">
        <f>SUM(C14:C25)</f>
        <v>847215.93</v>
      </c>
      <c r="D13" s="8">
        <f>SUM(D14:D25)</f>
        <v>-20600.369999999995</v>
      </c>
    </row>
    <row r="14" spans="1:4" ht="12.75">
      <c r="A14" s="9" t="s">
        <v>59</v>
      </c>
      <c r="B14" s="8">
        <v>73048.86</v>
      </c>
      <c r="C14" s="8">
        <v>72629.92</v>
      </c>
      <c r="D14" s="8">
        <f aca="true" t="shared" si="0" ref="D14:D25">B14-C14</f>
        <v>418.9400000000023</v>
      </c>
    </row>
    <row r="15" spans="1:4" ht="12.75">
      <c r="A15" s="9" t="s">
        <v>47</v>
      </c>
      <c r="B15" s="8">
        <v>73048.86</v>
      </c>
      <c r="C15" s="13">
        <v>75314.62</v>
      </c>
      <c r="D15" s="8">
        <f t="shared" si="0"/>
        <v>-2265.7599999999948</v>
      </c>
    </row>
    <row r="16" spans="1:4" ht="12.75">
      <c r="A16" s="9" t="s">
        <v>48</v>
      </c>
      <c r="B16" s="8">
        <v>73048.86</v>
      </c>
      <c r="C16" s="13">
        <v>77292.6</v>
      </c>
      <c r="D16" s="8">
        <f t="shared" si="0"/>
        <v>-4243.740000000005</v>
      </c>
    </row>
    <row r="17" spans="1:4" ht="12.75">
      <c r="A17" s="9" t="s">
        <v>49</v>
      </c>
      <c r="B17" s="8">
        <v>73048.86</v>
      </c>
      <c r="C17" s="13">
        <v>83523.51</v>
      </c>
      <c r="D17" s="8">
        <f t="shared" si="0"/>
        <v>-10474.649999999994</v>
      </c>
    </row>
    <row r="18" spans="1:4" ht="12.75">
      <c r="A18" s="9" t="s">
        <v>50</v>
      </c>
      <c r="B18" s="8">
        <v>73048.86</v>
      </c>
      <c r="C18" s="13">
        <v>75459.72</v>
      </c>
      <c r="D18" s="8">
        <f t="shared" si="0"/>
        <v>-2410.8600000000006</v>
      </c>
    </row>
    <row r="19" spans="1:4" ht="12.75">
      <c r="A19" s="9" t="s">
        <v>51</v>
      </c>
      <c r="B19" s="8">
        <v>73048.86</v>
      </c>
      <c r="C19" s="13">
        <v>76960.68</v>
      </c>
      <c r="D19" s="8">
        <f t="shared" si="0"/>
        <v>-3911.8199999999924</v>
      </c>
    </row>
    <row r="20" spans="1:4" ht="12.75">
      <c r="A20" s="9" t="s">
        <v>52</v>
      </c>
      <c r="B20" s="8">
        <v>64720.4</v>
      </c>
      <c r="C20" s="13">
        <v>66167.35</v>
      </c>
      <c r="D20" s="8">
        <f t="shared" si="0"/>
        <v>-1446.9500000000044</v>
      </c>
    </row>
    <row r="21" spans="1:4" ht="12.75">
      <c r="A21" s="9" t="s">
        <v>53</v>
      </c>
      <c r="B21" s="8">
        <v>64720.4</v>
      </c>
      <c r="C21" s="13">
        <v>57357.91</v>
      </c>
      <c r="D21" s="8">
        <f t="shared" si="0"/>
        <v>7362.489999999998</v>
      </c>
    </row>
    <row r="22" spans="1:4" ht="12.75">
      <c r="A22" s="9" t="s">
        <v>54</v>
      </c>
      <c r="B22" s="8">
        <v>64720.4</v>
      </c>
      <c r="C22" s="13">
        <v>68694</v>
      </c>
      <c r="D22" s="8">
        <f t="shared" si="0"/>
        <v>-3973.5999999999985</v>
      </c>
    </row>
    <row r="23" spans="1:4" ht="12.75">
      <c r="A23" s="9" t="s">
        <v>55</v>
      </c>
      <c r="B23" s="8">
        <v>64720.4</v>
      </c>
      <c r="C23" s="13">
        <v>63110.98</v>
      </c>
      <c r="D23" s="13">
        <f t="shared" si="0"/>
        <v>1609.4199999999983</v>
      </c>
    </row>
    <row r="24" spans="1:4" ht="12.75">
      <c r="A24" s="9" t="s">
        <v>56</v>
      </c>
      <c r="B24" s="8">
        <v>64720.4</v>
      </c>
      <c r="C24" s="13">
        <v>68288.85</v>
      </c>
      <c r="D24" s="13">
        <f t="shared" si="0"/>
        <v>-3568.4500000000044</v>
      </c>
    </row>
    <row r="25" spans="1:4" ht="12.75">
      <c r="A25" s="9" t="s">
        <v>57</v>
      </c>
      <c r="B25" s="8">
        <v>64720.4</v>
      </c>
      <c r="C25" s="13">
        <v>62415.79</v>
      </c>
      <c r="D25" s="13">
        <f t="shared" si="0"/>
        <v>2304.6100000000006</v>
      </c>
    </row>
    <row r="26" spans="1:4" ht="12.75">
      <c r="A26" s="7" t="s">
        <v>58</v>
      </c>
      <c r="B26" s="8">
        <f>SUM(B27:B38)</f>
        <v>148.32</v>
      </c>
      <c r="C26" s="8">
        <f>SUM(C27:C38)</f>
        <v>148.27999999999997</v>
      </c>
      <c r="D26" s="8">
        <f>SUM(D27:D38)</f>
        <v>0.03999999999999648</v>
      </c>
    </row>
    <row r="27" spans="1:4" ht="12.75">
      <c r="A27" s="9" t="s">
        <v>59</v>
      </c>
      <c r="B27" s="8">
        <v>12.36</v>
      </c>
      <c r="C27" s="8">
        <v>7.94</v>
      </c>
      <c r="D27" s="8">
        <f aca="true" t="shared" si="1" ref="D27:D38">B27-C27</f>
        <v>4.419999999999999</v>
      </c>
    </row>
    <row r="28" spans="1:4" ht="12.75">
      <c r="A28" s="9" t="s">
        <v>47</v>
      </c>
      <c r="B28" s="8">
        <v>12.36</v>
      </c>
      <c r="C28" s="8">
        <v>16.78</v>
      </c>
      <c r="D28" s="8">
        <f t="shared" si="1"/>
        <v>-4.420000000000002</v>
      </c>
    </row>
    <row r="29" spans="1:4" ht="12.75">
      <c r="A29" s="9" t="s">
        <v>48</v>
      </c>
      <c r="B29" s="8">
        <v>12.36</v>
      </c>
      <c r="C29" s="8">
        <v>12.36</v>
      </c>
      <c r="D29" s="8">
        <f t="shared" si="1"/>
        <v>0</v>
      </c>
    </row>
    <row r="30" spans="1:4" ht="12.75">
      <c r="A30" s="9" t="s">
        <v>49</v>
      </c>
      <c r="B30" s="8">
        <v>12.36</v>
      </c>
      <c r="C30" s="8">
        <v>12.36</v>
      </c>
      <c r="D30" s="8">
        <f t="shared" si="1"/>
        <v>0</v>
      </c>
    </row>
    <row r="31" spans="1:4" ht="12.75">
      <c r="A31" s="9" t="s">
        <v>50</v>
      </c>
      <c r="B31" s="8">
        <v>12.36</v>
      </c>
      <c r="C31" s="8">
        <v>12.36</v>
      </c>
      <c r="D31" s="8">
        <f t="shared" si="1"/>
        <v>0</v>
      </c>
    </row>
    <row r="32" spans="1:4" ht="12.75">
      <c r="A32" s="9" t="s">
        <v>51</v>
      </c>
      <c r="B32" s="8">
        <v>12.36</v>
      </c>
      <c r="C32" s="8">
        <v>12.36</v>
      </c>
      <c r="D32" s="8">
        <f t="shared" si="1"/>
        <v>0</v>
      </c>
    </row>
    <row r="33" spans="1:4" ht="12.75">
      <c r="A33" s="9" t="s">
        <v>52</v>
      </c>
      <c r="B33" s="8">
        <v>12.36</v>
      </c>
      <c r="C33" s="8">
        <v>12.32</v>
      </c>
      <c r="D33" s="8">
        <f t="shared" si="1"/>
        <v>0.03999999999999915</v>
      </c>
    </row>
    <row r="34" spans="1:4" ht="12.75">
      <c r="A34" s="9" t="s">
        <v>53</v>
      </c>
      <c r="B34" s="8">
        <v>12.36</v>
      </c>
      <c r="C34" s="13">
        <v>12.36</v>
      </c>
      <c r="D34" s="8">
        <f t="shared" si="1"/>
        <v>0</v>
      </c>
    </row>
    <row r="35" spans="1:4" ht="12.75">
      <c r="A35" s="9" t="s">
        <v>54</v>
      </c>
      <c r="B35" s="8">
        <v>12.36</v>
      </c>
      <c r="C35" s="13">
        <v>12.36</v>
      </c>
      <c r="D35" s="8">
        <f t="shared" si="1"/>
        <v>0</v>
      </c>
    </row>
    <row r="36" spans="1:4" ht="12.75">
      <c r="A36" s="9" t="s">
        <v>55</v>
      </c>
      <c r="B36" s="8">
        <v>12.36</v>
      </c>
      <c r="C36" s="13">
        <v>12.36</v>
      </c>
      <c r="D36" s="13">
        <f t="shared" si="1"/>
        <v>0</v>
      </c>
    </row>
    <row r="37" spans="1:4" ht="12.75">
      <c r="A37" s="9" t="s">
        <v>56</v>
      </c>
      <c r="B37" s="8">
        <v>12.36</v>
      </c>
      <c r="C37" s="13">
        <v>12.36</v>
      </c>
      <c r="D37" s="13">
        <f t="shared" si="1"/>
        <v>0</v>
      </c>
    </row>
    <row r="38" spans="1:4" ht="12.75">
      <c r="A38" s="9" t="s">
        <v>57</v>
      </c>
      <c r="B38" s="8">
        <v>12.36</v>
      </c>
      <c r="C38" s="13">
        <v>12.36</v>
      </c>
      <c r="D38" s="13">
        <f t="shared" si="1"/>
        <v>0</v>
      </c>
    </row>
    <row r="39" spans="1:4" ht="12.75">
      <c r="A39" s="9" t="s">
        <v>60</v>
      </c>
      <c r="B39" s="8">
        <f>B13+B26</f>
        <v>826763.88</v>
      </c>
      <c r="C39" s="8">
        <f>C13+C26</f>
        <v>847364.2100000001</v>
      </c>
      <c r="D39" s="8">
        <f>D13+D26</f>
        <v>-20600.329999999994</v>
      </c>
    </row>
    <row r="41" spans="1:4" ht="12.75">
      <c r="A41" t="s">
        <v>61</v>
      </c>
      <c r="D41" s="12">
        <f>D39</f>
        <v>-20600.329999999994</v>
      </c>
    </row>
    <row r="43" spans="1:4" ht="12.75">
      <c r="A43" s="11" t="s">
        <v>62</v>
      </c>
      <c r="D43" s="12">
        <f>D44+D45</f>
        <v>59888.592000000004</v>
      </c>
    </row>
    <row r="44" spans="1:4" ht="12.75">
      <c r="A44" s="11" t="s">
        <v>63</v>
      </c>
      <c r="D44" s="12">
        <f>(1.33*12*D5)</f>
        <v>50733.64800000001</v>
      </c>
    </row>
    <row r="45" spans="1:4" ht="12.75">
      <c r="A45" s="11" t="s">
        <v>64</v>
      </c>
      <c r="D45" s="12">
        <f>(0.24*12*D5)</f>
        <v>9154.944</v>
      </c>
    </row>
    <row r="46" spans="1:4" ht="12.75">
      <c r="A46" s="11" t="s">
        <v>65</v>
      </c>
      <c r="D46" s="12">
        <v>0</v>
      </c>
    </row>
    <row r="47" spans="1:4" ht="12.75">
      <c r="A47" s="11" t="s">
        <v>109</v>
      </c>
      <c r="D47" s="12">
        <f>1321*0.22*4+(1321*2.5)</f>
        <v>4464.98</v>
      </c>
    </row>
    <row r="48" spans="1:4" ht="12.75">
      <c r="A48" s="11" t="s">
        <v>121</v>
      </c>
      <c r="D48" s="12">
        <f>(2.66*6*D5)</f>
        <v>50733.64800000001</v>
      </c>
    </row>
    <row r="49" spans="1:4" ht="12.75" hidden="1">
      <c r="A49" s="11" t="s">
        <v>66</v>
      </c>
      <c r="D49" s="12">
        <v>0</v>
      </c>
    </row>
    <row r="50" spans="1:4" ht="12.75">
      <c r="A50" s="11" t="s">
        <v>108</v>
      </c>
      <c r="D50" s="12">
        <f>(0.72*3*D5)</f>
        <v>6866.2080000000005</v>
      </c>
    </row>
    <row r="51" spans="1:4" ht="12.75">
      <c r="A51" s="11" t="s">
        <v>67</v>
      </c>
      <c r="D51" s="12">
        <f>(1.45*12*D5)</f>
        <v>55311.119999999995</v>
      </c>
    </row>
    <row r="52" spans="1:4" ht="12.75">
      <c r="A52" s="11" t="s">
        <v>68</v>
      </c>
      <c r="D52" s="12">
        <f>(5.11*12*D5)</f>
        <v>194924.01600000003</v>
      </c>
    </row>
    <row r="53" spans="1:4" ht="12.75">
      <c r="A53" s="11" t="s">
        <v>69</v>
      </c>
      <c r="D53" s="12">
        <f>(0.29*12*D5)</f>
        <v>11062.223999999998</v>
      </c>
    </row>
    <row r="54" spans="1:4" ht="12.75">
      <c r="A54" s="11" t="s">
        <v>110</v>
      </c>
      <c r="D54" s="12">
        <f>(3.87*12*D5)</f>
        <v>147623.472</v>
      </c>
    </row>
    <row r="55" spans="1:4" ht="12.75">
      <c r="A55" s="11" t="s">
        <v>70</v>
      </c>
      <c r="D55" s="12">
        <f>2.25*12*D6</f>
        <v>1620</v>
      </c>
    </row>
    <row r="56" spans="1:4" ht="12.75">
      <c r="A56" s="11" t="s">
        <v>71</v>
      </c>
      <c r="D56" s="12">
        <v>158737.25</v>
      </c>
    </row>
    <row r="57" spans="1:4" ht="12.75">
      <c r="A57" s="11" t="s">
        <v>72</v>
      </c>
      <c r="D57" s="12">
        <f>(0.91*12*D5)</f>
        <v>34712.496</v>
      </c>
    </row>
    <row r="58" spans="1:4" ht="12.75">
      <c r="A58" s="14" t="s">
        <v>96</v>
      </c>
      <c r="D58" s="12">
        <v>0</v>
      </c>
    </row>
    <row r="59" spans="1:4" ht="12.75">
      <c r="A59" s="11"/>
      <c r="D59" s="12"/>
    </row>
    <row r="60" spans="1:4" ht="12.75">
      <c r="A60" s="11" t="s">
        <v>73</v>
      </c>
      <c r="D60" s="12">
        <f>D43+D46+D47+D48+D49+D50+D51+D52+D53+D54+D55+D56+D57</f>
        <v>725944.006</v>
      </c>
    </row>
    <row r="61" spans="1:4" ht="12.75">
      <c r="A61" s="11"/>
      <c r="D61" s="12"/>
    </row>
    <row r="62" spans="1:4" ht="12.75">
      <c r="A62" t="s">
        <v>99</v>
      </c>
      <c r="D62" s="12">
        <f>C39-D60</f>
        <v>121420.20400000003</v>
      </c>
    </row>
    <row r="65" spans="2:3" ht="12.75" hidden="1">
      <c r="B65">
        <v>68906</v>
      </c>
      <c r="C65" t="s">
        <v>32</v>
      </c>
    </row>
    <row r="66" spans="2:3" ht="12.75" hidden="1">
      <c r="B66">
        <v>3770</v>
      </c>
      <c r="C66" t="s">
        <v>22</v>
      </c>
    </row>
    <row r="67" spans="2:3" ht="12.75" hidden="1">
      <c r="B67">
        <v>1840</v>
      </c>
      <c r="C67" t="s">
        <v>119</v>
      </c>
    </row>
    <row r="68" spans="2:3" ht="12.75" hidden="1">
      <c r="B68">
        <v>943</v>
      </c>
      <c r="C68" t="s">
        <v>138</v>
      </c>
    </row>
    <row r="69" spans="2:3" ht="12.75" hidden="1">
      <c r="B69">
        <v>53318</v>
      </c>
      <c r="C69" t="s">
        <v>127</v>
      </c>
    </row>
    <row r="70" spans="2:3" ht="12.75" hidden="1">
      <c r="B70">
        <v>13074</v>
      </c>
      <c r="C70" t="s">
        <v>138</v>
      </c>
    </row>
    <row r="71" spans="2:3" ht="12.75" hidden="1">
      <c r="B71">
        <v>1382</v>
      </c>
      <c r="C71" t="s">
        <v>119</v>
      </c>
    </row>
    <row r="72" spans="2:3" ht="12.75" hidden="1">
      <c r="B72">
        <v>5297</v>
      </c>
      <c r="C72" t="s">
        <v>143</v>
      </c>
    </row>
    <row r="73" spans="2:3" ht="12.75" hidden="1">
      <c r="B73">
        <v>3849</v>
      </c>
      <c r="C73" t="s">
        <v>138</v>
      </c>
    </row>
    <row r="74" spans="2:3" ht="12.75" hidden="1">
      <c r="B74">
        <v>432.75</v>
      </c>
      <c r="C74" t="s">
        <v>24</v>
      </c>
    </row>
    <row r="75" spans="2:3" ht="12.75" hidden="1">
      <c r="B75">
        <v>1972</v>
      </c>
      <c r="C75" t="s">
        <v>124</v>
      </c>
    </row>
    <row r="76" spans="2:3" ht="12.75" hidden="1">
      <c r="B76">
        <v>3331</v>
      </c>
      <c r="C76" t="s">
        <v>127</v>
      </c>
    </row>
    <row r="77" spans="2:3" ht="12.75" hidden="1">
      <c r="B77">
        <v>622.5</v>
      </c>
      <c r="C77" t="s">
        <v>112</v>
      </c>
    </row>
    <row r="78" ht="12.75" hidden="1">
      <c r="B78">
        <f>SUM(B65:B77)</f>
        <v>158737.25</v>
      </c>
    </row>
    <row r="79" ht="12.75" hidden="1"/>
    <row r="80" ht="12.75" hidden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2"/>
  </sheetPr>
  <dimension ref="A1:G79"/>
  <sheetViews>
    <sheetView zoomScalePageLayoutView="0" workbookViewId="0" topLeftCell="A29">
      <selection activeCell="E102" sqref="E102"/>
    </sheetView>
  </sheetViews>
  <sheetFormatPr defaultColWidth="9.140625" defaultRowHeight="12.75"/>
  <cols>
    <col min="2" max="3" width="14.140625" style="0" bestFit="1" customWidth="1"/>
    <col min="4" max="4" width="14.00390625" style="0" bestFit="1" customWidth="1"/>
  </cols>
  <sheetData>
    <row r="1" ht="12.75">
      <c r="A1" t="s">
        <v>8</v>
      </c>
    </row>
    <row r="3" spans="1:7" ht="12.75">
      <c r="A3" s="1" t="s">
        <v>34</v>
      </c>
      <c r="B3" s="2" t="s">
        <v>35</v>
      </c>
      <c r="C3" s="1" t="s">
        <v>91</v>
      </c>
      <c r="D3" s="1"/>
      <c r="E3" s="1" t="s">
        <v>36</v>
      </c>
      <c r="F3" s="3">
        <v>4</v>
      </c>
      <c r="G3" s="21">
        <v>2018</v>
      </c>
    </row>
    <row r="5" spans="1:5" ht="12.75">
      <c r="A5" t="s">
        <v>37</v>
      </c>
      <c r="D5" s="4">
        <v>6384.1</v>
      </c>
      <c r="E5" s="5" t="s">
        <v>74</v>
      </c>
    </row>
    <row r="6" spans="1:5" ht="12.75">
      <c r="A6" t="s">
        <v>38</v>
      </c>
      <c r="D6" s="4">
        <v>123</v>
      </c>
      <c r="E6" s="5"/>
    </row>
    <row r="7" spans="1:5" ht="12.75">
      <c r="A7" t="s">
        <v>39</v>
      </c>
      <c r="D7" s="4">
        <v>308</v>
      </c>
      <c r="E7" s="5" t="s">
        <v>40</v>
      </c>
    </row>
    <row r="8" spans="1:5" ht="12.75">
      <c r="A8" t="s">
        <v>41</v>
      </c>
      <c r="D8" s="4">
        <v>514.8</v>
      </c>
      <c r="E8" s="5" t="s">
        <v>74</v>
      </c>
    </row>
    <row r="9" spans="1:5" ht="12.75">
      <c r="A9" t="s">
        <v>42</v>
      </c>
      <c r="D9" s="4">
        <v>10726</v>
      </c>
      <c r="E9" s="5" t="s">
        <v>74</v>
      </c>
    </row>
    <row r="10" ht="12.75" hidden="1"/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1663569.2400000002</v>
      </c>
      <c r="C13" s="8">
        <f>SUM(C14:C25)</f>
        <v>1723214.6</v>
      </c>
      <c r="D13" s="8">
        <f>SUM(D14:D25)</f>
        <v>-59645.35999999996</v>
      </c>
    </row>
    <row r="14" spans="1:4" ht="12.75">
      <c r="A14" s="9" t="s">
        <v>59</v>
      </c>
      <c r="B14" s="8">
        <v>146961.97</v>
      </c>
      <c r="C14" s="8">
        <v>137666.84</v>
      </c>
      <c r="D14" s="8">
        <f aca="true" t="shared" si="0" ref="D14:D25">B14-C14</f>
        <v>9295.130000000005</v>
      </c>
    </row>
    <row r="15" spans="1:4" ht="12.75">
      <c r="A15" s="9" t="s">
        <v>47</v>
      </c>
      <c r="B15" s="8">
        <v>146961.97</v>
      </c>
      <c r="C15" s="13">
        <v>129796.18</v>
      </c>
      <c r="D15" s="8">
        <f t="shared" si="0"/>
        <v>17165.790000000008</v>
      </c>
    </row>
    <row r="16" spans="1:4" ht="12.75">
      <c r="A16" s="9" t="s">
        <v>48</v>
      </c>
      <c r="B16" s="8">
        <v>146961.97</v>
      </c>
      <c r="C16" s="13">
        <v>140958.11</v>
      </c>
      <c r="D16" s="8">
        <f t="shared" si="0"/>
        <v>6003.860000000015</v>
      </c>
    </row>
    <row r="17" spans="1:4" ht="12.75">
      <c r="A17" s="9" t="s">
        <v>49</v>
      </c>
      <c r="B17" s="8">
        <v>146961.97</v>
      </c>
      <c r="C17" s="13">
        <v>148477.81</v>
      </c>
      <c r="D17" s="8">
        <f t="shared" si="0"/>
        <v>-1515.8399999999965</v>
      </c>
    </row>
    <row r="18" spans="1:4" ht="12.75">
      <c r="A18" s="9" t="s">
        <v>50</v>
      </c>
      <c r="B18" s="8">
        <v>146961.97</v>
      </c>
      <c r="C18" s="13">
        <v>195271.35</v>
      </c>
      <c r="D18" s="8">
        <f t="shared" si="0"/>
        <v>-48309.380000000005</v>
      </c>
    </row>
    <row r="19" spans="1:4" ht="12.75">
      <c r="A19" s="9" t="s">
        <v>51</v>
      </c>
      <c r="B19" s="8">
        <v>146961.97</v>
      </c>
      <c r="C19" s="13">
        <v>148583.9</v>
      </c>
      <c r="D19" s="8">
        <f t="shared" si="0"/>
        <v>-1621.929999999993</v>
      </c>
    </row>
    <row r="20" spans="1:4" ht="12.75">
      <c r="A20" s="9" t="s">
        <v>52</v>
      </c>
      <c r="B20" s="8">
        <v>130299.57</v>
      </c>
      <c r="C20" s="13">
        <v>140671.25</v>
      </c>
      <c r="D20" s="8">
        <f t="shared" si="0"/>
        <v>-10371.679999999993</v>
      </c>
    </row>
    <row r="21" spans="1:4" ht="12.75">
      <c r="A21" s="9" t="s">
        <v>53</v>
      </c>
      <c r="B21" s="8">
        <v>130299.57</v>
      </c>
      <c r="C21" s="13">
        <v>148536.75</v>
      </c>
      <c r="D21" s="8">
        <f t="shared" si="0"/>
        <v>-18237.179999999993</v>
      </c>
    </row>
    <row r="22" spans="1:4" ht="12.75">
      <c r="A22" s="9" t="s">
        <v>54</v>
      </c>
      <c r="B22" s="8">
        <v>130299.57</v>
      </c>
      <c r="C22" s="13">
        <v>127064.6</v>
      </c>
      <c r="D22" s="8">
        <f t="shared" si="0"/>
        <v>3234.970000000001</v>
      </c>
    </row>
    <row r="23" spans="1:4" ht="12.75">
      <c r="A23" s="9" t="s">
        <v>55</v>
      </c>
      <c r="B23" s="8">
        <v>130299.57</v>
      </c>
      <c r="C23" s="13">
        <v>134020.17</v>
      </c>
      <c r="D23" s="13">
        <f t="shared" si="0"/>
        <v>-3720.600000000006</v>
      </c>
    </row>
    <row r="24" spans="1:4" ht="12.75">
      <c r="A24" s="9" t="s">
        <v>56</v>
      </c>
      <c r="B24" s="8">
        <v>130299.57</v>
      </c>
      <c r="C24" s="13">
        <v>137023.82</v>
      </c>
      <c r="D24" s="13">
        <f t="shared" si="0"/>
        <v>-6724.25</v>
      </c>
    </row>
    <row r="25" spans="1:4" ht="12.75">
      <c r="A25" s="9" t="s">
        <v>57</v>
      </c>
      <c r="B25" s="8">
        <v>130299.57</v>
      </c>
      <c r="C25" s="13">
        <v>135143.82</v>
      </c>
      <c r="D25" s="13">
        <f t="shared" si="0"/>
        <v>-4844.25</v>
      </c>
    </row>
    <row r="26" spans="1:4" ht="12.75">
      <c r="A26" s="7" t="s">
        <v>58</v>
      </c>
      <c r="B26" s="8">
        <f>SUM(B27:B38)</f>
        <v>389.55</v>
      </c>
      <c r="C26" s="8">
        <f>SUM(C27:C38)</f>
        <v>322.15</v>
      </c>
      <c r="D26" s="8">
        <f>SUM(D27:D38)</f>
        <v>67.39999999999999</v>
      </c>
    </row>
    <row r="27" spans="1:4" ht="12.75">
      <c r="A27" s="9" t="s">
        <v>59</v>
      </c>
      <c r="B27" s="8">
        <v>35.89</v>
      </c>
      <c r="C27" s="8">
        <v>29.2</v>
      </c>
      <c r="D27" s="8">
        <f aca="true" t="shared" si="1" ref="D27:D34">B27-C27</f>
        <v>6.690000000000001</v>
      </c>
    </row>
    <row r="28" spans="1:4" ht="12.75">
      <c r="A28" s="9" t="s">
        <v>47</v>
      </c>
      <c r="B28" s="8">
        <v>35.89</v>
      </c>
      <c r="C28" s="13">
        <v>22.32</v>
      </c>
      <c r="D28" s="8">
        <f t="shared" si="1"/>
        <v>13.57</v>
      </c>
    </row>
    <row r="29" spans="1:4" ht="12.75">
      <c r="A29" s="9" t="s">
        <v>48</v>
      </c>
      <c r="B29" s="8">
        <v>32.23</v>
      </c>
      <c r="C29" s="13">
        <v>18.66</v>
      </c>
      <c r="D29" s="8">
        <f t="shared" si="1"/>
        <v>13.569999999999997</v>
      </c>
    </row>
    <row r="30" spans="1:4" ht="12.75">
      <c r="A30" s="9" t="s">
        <v>49</v>
      </c>
      <c r="B30" s="8">
        <v>32.23</v>
      </c>
      <c r="C30" s="13">
        <v>31.21</v>
      </c>
      <c r="D30" s="8">
        <f t="shared" si="1"/>
        <v>1.019999999999996</v>
      </c>
    </row>
    <row r="31" spans="1:4" ht="12.75">
      <c r="A31" s="9" t="s">
        <v>50</v>
      </c>
      <c r="B31" s="8">
        <v>32.23</v>
      </c>
      <c r="C31" s="13">
        <v>32.38</v>
      </c>
      <c r="D31" s="8">
        <f t="shared" si="1"/>
        <v>-0.15000000000000568</v>
      </c>
    </row>
    <row r="32" spans="1:4" ht="12.75">
      <c r="A32" s="9" t="s">
        <v>51</v>
      </c>
      <c r="B32" s="8">
        <v>32.23</v>
      </c>
      <c r="C32" s="13">
        <v>16.56</v>
      </c>
      <c r="D32" s="8">
        <f t="shared" si="1"/>
        <v>15.669999999999998</v>
      </c>
    </row>
    <row r="33" spans="1:4" ht="12.75">
      <c r="A33" s="9" t="s">
        <v>52</v>
      </c>
      <c r="B33" s="8">
        <v>32.23</v>
      </c>
      <c r="C33" s="13">
        <v>18.75</v>
      </c>
      <c r="D33" s="8">
        <f t="shared" si="1"/>
        <v>13.479999999999997</v>
      </c>
    </row>
    <row r="34" spans="1:4" ht="12.75">
      <c r="A34" s="9" t="s">
        <v>53</v>
      </c>
      <c r="B34" s="8">
        <v>32.23</v>
      </c>
      <c r="C34" s="13">
        <v>26.1</v>
      </c>
      <c r="D34" s="8">
        <f t="shared" si="1"/>
        <v>6.1299999999999955</v>
      </c>
    </row>
    <row r="35" spans="1:4" ht="12.75">
      <c r="A35" s="9" t="s">
        <v>54</v>
      </c>
      <c r="B35" s="8">
        <v>32.23</v>
      </c>
      <c r="C35" s="13">
        <v>20.09</v>
      </c>
      <c r="D35" s="8">
        <f>B35-C35</f>
        <v>12.139999999999997</v>
      </c>
    </row>
    <row r="36" spans="1:4" ht="12.75">
      <c r="A36" s="9" t="s">
        <v>55</v>
      </c>
      <c r="B36" s="8">
        <v>32.23</v>
      </c>
      <c r="C36" s="13">
        <v>32.76</v>
      </c>
      <c r="D36" s="13">
        <f>B36-C36</f>
        <v>-0.5300000000000011</v>
      </c>
    </row>
    <row r="37" spans="1:4" ht="12.75">
      <c r="A37" s="9" t="s">
        <v>56</v>
      </c>
      <c r="B37" s="8">
        <v>32.23</v>
      </c>
      <c r="C37" s="13">
        <v>55.51</v>
      </c>
      <c r="D37" s="13">
        <f>B37-C37</f>
        <v>-23.28</v>
      </c>
    </row>
    <row r="38" spans="1:4" ht="12.75">
      <c r="A38" s="9" t="s">
        <v>57</v>
      </c>
      <c r="B38" s="8">
        <v>27.7</v>
      </c>
      <c r="C38" s="13">
        <v>18.61</v>
      </c>
      <c r="D38" s="13">
        <f>B38-C38</f>
        <v>9.09</v>
      </c>
    </row>
    <row r="39" spans="1:4" ht="12.75">
      <c r="A39" s="9" t="s">
        <v>60</v>
      </c>
      <c r="B39" s="8">
        <f>B13+B26</f>
        <v>1663958.7900000003</v>
      </c>
      <c r="C39" s="8">
        <f>C13+C26</f>
        <v>1723536.75</v>
      </c>
      <c r="D39" s="8">
        <f>D13+D26</f>
        <v>-59577.959999999955</v>
      </c>
    </row>
    <row r="41" spans="1:4" ht="12.75">
      <c r="A41" t="s">
        <v>61</v>
      </c>
      <c r="D41" s="12">
        <f>D39</f>
        <v>-59577.959999999955</v>
      </c>
    </row>
    <row r="43" spans="1:4" ht="12.75">
      <c r="A43" s="11" t="s">
        <v>62</v>
      </c>
      <c r="D43" s="12">
        <f>D44+D45</f>
        <v>120276.444</v>
      </c>
    </row>
    <row r="44" spans="1:4" ht="12.75">
      <c r="A44" s="11" t="s">
        <v>63</v>
      </c>
      <c r="D44" s="12">
        <f>(1.33*12*D5)</f>
        <v>101890.236</v>
      </c>
    </row>
    <row r="45" spans="1:4" ht="12.75">
      <c r="A45" s="11" t="s">
        <v>64</v>
      </c>
      <c r="D45" s="12">
        <f>(0.24*12*D5)</f>
        <v>18386.208</v>
      </c>
    </row>
    <row r="46" spans="1:4" ht="12.75">
      <c r="A46" s="11" t="s">
        <v>65</v>
      </c>
      <c r="D46" s="12">
        <v>0</v>
      </c>
    </row>
    <row r="47" spans="1:4" ht="12.75">
      <c r="A47" s="11" t="s">
        <v>109</v>
      </c>
      <c r="D47" s="12">
        <f>2619.8*0.22*4+(2619.8*2.5)</f>
        <v>8854.923999999999</v>
      </c>
    </row>
    <row r="48" spans="1:4" ht="12.75">
      <c r="A48" s="11" t="s">
        <v>121</v>
      </c>
      <c r="D48" s="12">
        <f>(2.66*12*D5)</f>
        <v>203780.472</v>
      </c>
    </row>
    <row r="49" spans="1:4" ht="12.75" hidden="1">
      <c r="A49" s="11" t="s">
        <v>66</v>
      </c>
      <c r="D49" s="12">
        <v>0</v>
      </c>
    </row>
    <row r="50" spans="1:4" ht="12.75">
      <c r="A50" s="11" t="s">
        <v>108</v>
      </c>
      <c r="D50" s="12">
        <f>(0.72*3*D5)</f>
        <v>13789.656</v>
      </c>
    </row>
    <row r="51" spans="1:4" ht="12.75">
      <c r="A51" s="11" t="s">
        <v>67</v>
      </c>
      <c r="D51" s="12">
        <f>(1.45*12*D5)+40000</f>
        <v>151083.34</v>
      </c>
    </row>
    <row r="52" spans="1:4" ht="12.75">
      <c r="A52" s="11" t="s">
        <v>68</v>
      </c>
      <c r="D52" s="12">
        <f>(5.83*12*D5)</f>
        <v>446631.63600000006</v>
      </c>
    </row>
    <row r="53" spans="1:4" ht="12.75">
      <c r="A53" s="11" t="s">
        <v>69</v>
      </c>
      <c r="D53" s="12">
        <f>(0.29*12*D5)</f>
        <v>22216.667999999998</v>
      </c>
    </row>
    <row r="54" spans="1:4" ht="12.75">
      <c r="A54" s="11" t="s">
        <v>110</v>
      </c>
      <c r="D54" s="12">
        <f>(3.87*12*D5)</f>
        <v>296477.604</v>
      </c>
    </row>
    <row r="55" spans="1:4" ht="12.75">
      <c r="A55" s="11" t="s">
        <v>70</v>
      </c>
      <c r="D55" s="12">
        <f>2.25*12*D6</f>
        <v>3321</v>
      </c>
    </row>
    <row r="56" spans="1:4" ht="12.75">
      <c r="A56" s="11" t="s">
        <v>71</v>
      </c>
      <c r="D56" s="12">
        <v>157751</v>
      </c>
    </row>
    <row r="57" spans="1:4" ht="12.75">
      <c r="A57" s="11" t="s">
        <v>72</v>
      </c>
      <c r="D57" s="12">
        <f>(0.91*12*D5)</f>
        <v>69714.372</v>
      </c>
    </row>
    <row r="58" spans="1:4" ht="12.75" hidden="1">
      <c r="A58" s="14" t="s">
        <v>96</v>
      </c>
      <c r="D58" s="12">
        <v>0</v>
      </c>
    </row>
    <row r="59" spans="1:4" ht="12.75">
      <c r="A59" s="11"/>
      <c r="D59" s="12"/>
    </row>
    <row r="60" spans="1:4" ht="12.75">
      <c r="A60" s="11" t="s">
        <v>73</v>
      </c>
      <c r="D60" s="12">
        <f>D43+D46+D47+D48+D49+D50+D51+D52+D53+D54+D55+D56+D57</f>
        <v>1493897.116</v>
      </c>
    </row>
    <row r="61" spans="1:4" ht="12.75">
      <c r="A61" s="11"/>
      <c r="D61" s="12"/>
    </row>
    <row r="62" spans="1:4" ht="12.75">
      <c r="A62" t="s">
        <v>103</v>
      </c>
      <c r="D62" s="12">
        <f>C39-D60</f>
        <v>229639.63400000008</v>
      </c>
    </row>
    <row r="64" spans="2:3" ht="12.75" hidden="1">
      <c r="B64">
        <v>5161</v>
      </c>
      <c r="C64" t="s">
        <v>27</v>
      </c>
    </row>
    <row r="65" spans="2:3" ht="12.75" hidden="1">
      <c r="B65">
        <v>2035</v>
      </c>
      <c r="C65" t="s">
        <v>119</v>
      </c>
    </row>
    <row r="66" spans="2:3" ht="12.75" hidden="1">
      <c r="B66">
        <v>5272</v>
      </c>
      <c r="C66" t="s">
        <v>27</v>
      </c>
    </row>
    <row r="67" spans="2:3" ht="12.75" hidden="1">
      <c r="B67">
        <v>1840</v>
      </c>
      <c r="C67" t="s">
        <v>119</v>
      </c>
    </row>
    <row r="68" spans="2:3" ht="12.75" hidden="1">
      <c r="B68">
        <v>2050</v>
      </c>
      <c r="C68" t="s">
        <v>119</v>
      </c>
    </row>
    <row r="69" spans="2:3" ht="12.75" hidden="1">
      <c r="B69">
        <v>2227</v>
      </c>
      <c r="C69" t="s">
        <v>119</v>
      </c>
    </row>
    <row r="70" spans="2:3" ht="12.75" hidden="1">
      <c r="B70">
        <v>97340</v>
      </c>
      <c r="C70" t="s">
        <v>201</v>
      </c>
    </row>
    <row r="71" spans="2:3" ht="12.75" hidden="1">
      <c r="B71">
        <v>11063</v>
      </c>
      <c r="C71" t="s">
        <v>201</v>
      </c>
    </row>
    <row r="72" spans="2:3" ht="12.75" hidden="1">
      <c r="B72">
        <v>12495</v>
      </c>
      <c r="C72" t="s">
        <v>127</v>
      </c>
    </row>
    <row r="73" spans="2:3" ht="12.75" hidden="1">
      <c r="B73">
        <v>3922</v>
      </c>
      <c r="C73" t="s">
        <v>119</v>
      </c>
    </row>
    <row r="74" spans="2:3" ht="12.75" hidden="1">
      <c r="B74">
        <v>1862</v>
      </c>
      <c r="C74" t="s">
        <v>119</v>
      </c>
    </row>
    <row r="75" spans="2:3" ht="12.75" hidden="1">
      <c r="B75">
        <v>4182</v>
      </c>
      <c r="C75" t="s">
        <v>0</v>
      </c>
    </row>
    <row r="76" spans="2:3" ht="12.75" hidden="1">
      <c r="B76">
        <v>3461</v>
      </c>
      <c r="C76" t="s">
        <v>119</v>
      </c>
    </row>
    <row r="77" spans="2:3" ht="12.75" hidden="1">
      <c r="B77">
        <v>1090</v>
      </c>
      <c r="C77" t="s">
        <v>135</v>
      </c>
    </row>
    <row r="78" spans="2:3" ht="12.75" hidden="1">
      <c r="B78">
        <v>3751</v>
      </c>
      <c r="C78" t="s">
        <v>119</v>
      </c>
    </row>
    <row r="79" ht="12.75" hidden="1">
      <c r="B79">
        <f>SUM(B64:B78)</f>
        <v>157751</v>
      </c>
    </row>
    <row r="80" ht="12.75" hidden="1"/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2"/>
  </sheetPr>
  <dimension ref="A1:G77"/>
  <sheetViews>
    <sheetView zoomScalePageLayoutView="0" workbookViewId="0" topLeftCell="A28">
      <selection activeCell="D50" sqref="D50"/>
    </sheetView>
  </sheetViews>
  <sheetFormatPr defaultColWidth="9.140625" defaultRowHeight="12.75"/>
  <cols>
    <col min="2" max="3" width="14.140625" style="0" bestFit="1" customWidth="1"/>
    <col min="4" max="4" width="14.00390625" style="0" bestFit="1" customWidth="1"/>
  </cols>
  <sheetData>
    <row r="1" ht="12.75">
      <c r="A1" t="s">
        <v>9</v>
      </c>
    </row>
    <row r="2" spans="1:7" ht="12.75">
      <c r="A2" s="1" t="s">
        <v>34</v>
      </c>
      <c r="B2" s="2" t="s">
        <v>35</v>
      </c>
      <c r="C2" s="1" t="s">
        <v>92</v>
      </c>
      <c r="D2" s="1"/>
      <c r="E2" s="1" t="s">
        <v>36</v>
      </c>
      <c r="F2" s="3">
        <v>38</v>
      </c>
      <c r="G2" s="21">
        <v>2018</v>
      </c>
    </row>
    <row r="4" spans="1:5" ht="12.75">
      <c r="A4" t="s">
        <v>37</v>
      </c>
      <c r="D4" s="4">
        <v>4029.5</v>
      </c>
      <c r="E4" s="5" t="s">
        <v>74</v>
      </c>
    </row>
    <row r="5" spans="1:5" ht="12.75">
      <c r="A5" t="s">
        <v>38</v>
      </c>
      <c r="D5" s="4">
        <v>108</v>
      </c>
      <c r="E5" s="5"/>
    </row>
    <row r="6" spans="1:5" ht="12.75">
      <c r="A6" t="s">
        <v>39</v>
      </c>
      <c r="D6" s="4">
        <v>218</v>
      </c>
      <c r="E6" s="5" t="s">
        <v>40</v>
      </c>
    </row>
    <row r="7" spans="1:5" ht="12.75">
      <c r="A7" t="s">
        <v>41</v>
      </c>
      <c r="D7" s="4">
        <v>2739.7</v>
      </c>
      <c r="E7" s="5" t="s">
        <v>74</v>
      </c>
    </row>
    <row r="8" spans="1:5" ht="12.75">
      <c r="A8" t="s">
        <v>42</v>
      </c>
      <c r="D8" s="4">
        <v>322</v>
      </c>
      <c r="E8" s="5" t="s">
        <v>74</v>
      </c>
    </row>
    <row r="11" spans="2:4" ht="12.75">
      <c r="B11" s="6" t="s">
        <v>43</v>
      </c>
      <c r="C11" s="6" t="s">
        <v>44</v>
      </c>
      <c r="D11" s="6" t="s">
        <v>45</v>
      </c>
    </row>
    <row r="12" spans="1:4" ht="12.75">
      <c r="A12" s="7" t="s">
        <v>46</v>
      </c>
      <c r="B12" s="8">
        <f>SUM(B13:B24)</f>
        <v>1268037.6</v>
      </c>
      <c r="C12" s="8">
        <f>SUM(C13:C24)</f>
        <v>1150472.12</v>
      </c>
      <c r="D12" s="8">
        <f>SUM(D13:D24)</f>
        <v>117565.47999999994</v>
      </c>
    </row>
    <row r="13" spans="1:4" ht="12.75">
      <c r="A13" s="9" t="s">
        <v>59</v>
      </c>
      <c r="B13" s="8">
        <v>111329.51</v>
      </c>
      <c r="C13" s="8">
        <v>111892.21</v>
      </c>
      <c r="D13" s="8">
        <f aca="true" t="shared" si="0" ref="D13:D24">B13-C13</f>
        <v>-562.7000000000116</v>
      </c>
    </row>
    <row r="14" spans="1:4" ht="12.75">
      <c r="A14" s="9" t="s">
        <v>47</v>
      </c>
      <c r="B14" s="8">
        <v>111329.51</v>
      </c>
      <c r="C14" s="13">
        <v>85407.81</v>
      </c>
      <c r="D14" s="8">
        <f t="shared" si="0"/>
        <v>25921.699999999997</v>
      </c>
    </row>
    <row r="15" spans="1:4" ht="12.75">
      <c r="A15" s="9" t="s">
        <v>48</v>
      </c>
      <c r="B15" s="8">
        <v>111329.51</v>
      </c>
      <c r="C15" s="13">
        <v>98383.74</v>
      </c>
      <c r="D15" s="8">
        <f t="shared" si="0"/>
        <v>12945.76999999999</v>
      </c>
    </row>
    <row r="16" spans="1:4" ht="12.75">
      <c r="A16" s="9" t="s">
        <v>49</v>
      </c>
      <c r="B16" s="8">
        <v>111329.51</v>
      </c>
      <c r="C16" s="13">
        <v>96904.19</v>
      </c>
      <c r="D16" s="8">
        <f t="shared" si="0"/>
        <v>14425.319999999992</v>
      </c>
    </row>
    <row r="17" spans="1:4" ht="12.75">
      <c r="A17" s="9" t="s">
        <v>50</v>
      </c>
      <c r="B17" s="8">
        <v>111329.51</v>
      </c>
      <c r="C17" s="13">
        <v>92231.45</v>
      </c>
      <c r="D17" s="8">
        <f t="shared" si="0"/>
        <v>19098.059999999998</v>
      </c>
    </row>
    <row r="18" spans="1:4" ht="12.75">
      <c r="A18" s="9" t="s">
        <v>51</v>
      </c>
      <c r="B18" s="8">
        <v>111329.51</v>
      </c>
      <c r="C18" s="13">
        <v>62686.74</v>
      </c>
      <c r="D18" s="8">
        <f t="shared" si="0"/>
        <v>48642.77</v>
      </c>
    </row>
    <row r="19" spans="1:4" ht="12.75">
      <c r="A19" s="9" t="s">
        <v>52</v>
      </c>
      <c r="B19" s="8">
        <v>101014.59</v>
      </c>
      <c r="C19" s="13">
        <v>87940.16</v>
      </c>
      <c r="D19" s="8">
        <f t="shared" si="0"/>
        <v>13074.429999999993</v>
      </c>
    </row>
    <row r="20" spans="1:4" ht="12.75">
      <c r="A20" s="9" t="s">
        <v>53</v>
      </c>
      <c r="B20" s="8">
        <v>101014.59</v>
      </c>
      <c r="C20" s="13">
        <v>109569.4</v>
      </c>
      <c r="D20" s="8">
        <f t="shared" si="0"/>
        <v>-8554.809999999998</v>
      </c>
    </row>
    <row r="21" spans="1:4" ht="12.75">
      <c r="A21" s="9" t="s">
        <v>54</v>
      </c>
      <c r="B21" s="8">
        <v>101014.59</v>
      </c>
      <c r="C21" s="13">
        <v>104192.41</v>
      </c>
      <c r="D21" s="8">
        <f t="shared" si="0"/>
        <v>-3177.820000000007</v>
      </c>
    </row>
    <row r="22" spans="1:4" ht="12.75">
      <c r="A22" s="9" t="s">
        <v>55</v>
      </c>
      <c r="B22" s="8">
        <v>101014.59</v>
      </c>
      <c r="C22" s="13">
        <v>96475.82</v>
      </c>
      <c r="D22" s="13">
        <f t="shared" si="0"/>
        <v>4538.7699999999895</v>
      </c>
    </row>
    <row r="23" spans="1:4" ht="12.75">
      <c r="A23" s="9" t="s">
        <v>56</v>
      </c>
      <c r="B23" s="8">
        <v>101014.59</v>
      </c>
      <c r="C23" s="13">
        <v>90634.68</v>
      </c>
      <c r="D23" s="13">
        <f t="shared" si="0"/>
        <v>10379.910000000003</v>
      </c>
    </row>
    <row r="24" spans="1:4" ht="12.75">
      <c r="A24" s="9" t="s">
        <v>57</v>
      </c>
      <c r="B24" s="8">
        <v>94987.59</v>
      </c>
      <c r="C24" s="13">
        <v>114153.51</v>
      </c>
      <c r="D24" s="13">
        <f t="shared" si="0"/>
        <v>-19165.92</v>
      </c>
    </row>
    <row r="25" spans="1:4" ht="12.75">
      <c r="A25" s="7" t="s">
        <v>58</v>
      </c>
      <c r="B25" s="8">
        <f>SUM(B26:B37)</f>
        <v>495.9199999999999</v>
      </c>
      <c r="C25" s="8">
        <f>SUM(C26:C37)</f>
        <v>450.59</v>
      </c>
      <c r="D25" s="8">
        <f>SUM(D26:D37)</f>
        <v>45.33</v>
      </c>
    </row>
    <row r="26" spans="1:4" ht="12.75">
      <c r="A26" s="9" t="s">
        <v>59</v>
      </c>
      <c r="B26" s="8">
        <v>42.14</v>
      </c>
      <c r="C26" s="8">
        <v>37.07</v>
      </c>
      <c r="D26" s="8">
        <f aca="true" t="shared" si="1" ref="D26:D35">B26-C26</f>
        <v>5.07</v>
      </c>
    </row>
    <row r="27" spans="1:4" ht="12.75">
      <c r="A27" s="9" t="s">
        <v>47</v>
      </c>
      <c r="B27" s="8">
        <v>42.14</v>
      </c>
      <c r="C27" s="13">
        <v>13.03</v>
      </c>
      <c r="D27" s="8">
        <f t="shared" si="1"/>
        <v>29.11</v>
      </c>
    </row>
    <row r="28" spans="1:4" ht="12.75">
      <c r="A28" s="9" t="s">
        <v>48</v>
      </c>
      <c r="B28" s="8">
        <v>42.14</v>
      </c>
      <c r="C28" s="13">
        <v>32.49</v>
      </c>
      <c r="D28" s="8">
        <f t="shared" si="1"/>
        <v>9.649999999999999</v>
      </c>
    </row>
    <row r="29" spans="1:4" ht="12.75">
      <c r="A29" s="9" t="s">
        <v>49</v>
      </c>
      <c r="B29" s="8">
        <v>42.14</v>
      </c>
      <c r="C29" s="13">
        <v>28.31</v>
      </c>
      <c r="D29" s="8">
        <f t="shared" si="1"/>
        <v>13.830000000000002</v>
      </c>
    </row>
    <row r="30" spans="1:4" ht="12.75">
      <c r="A30" s="9" t="s">
        <v>50</v>
      </c>
      <c r="B30" s="8">
        <v>42.14</v>
      </c>
      <c r="C30" s="13">
        <v>43.34</v>
      </c>
      <c r="D30" s="8">
        <f t="shared" si="1"/>
        <v>-1.2000000000000028</v>
      </c>
    </row>
    <row r="31" spans="1:4" ht="12.75">
      <c r="A31" s="9" t="s">
        <v>51</v>
      </c>
      <c r="B31" s="8">
        <v>42.14</v>
      </c>
      <c r="C31" s="13">
        <v>15.28</v>
      </c>
      <c r="D31" s="8">
        <f t="shared" si="1"/>
        <v>26.86</v>
      </c>
    </row>
    <row r="32" spans="1:4" ht="12.75">
      <c r="A32" s="9" t="s">
        <v>52</v>
      </c>
      <c r="B32" s="8">
        <v>42.14</v>
      </c>
      <c r="C32" s="13">
        <v>25.72</v>
      </c>
      <c r="D32" s="8">
        <f t="shared" si="1"/>
        <v>16.42</v>
      </c>
    </row>
    <row r="33" spans="1:4" ht="12.75">
      <c r="A33" s="9" t="s">
        <v>53</v>
      </c>
      <c r="B33" s="8">
        <v>42.14</v>
      </c>
      <c r="C33" s="13">
        <v>59.47</v>
      </c>
      <c r="D33" s="8">
        <f t="shared" si="1"/>
        <v>-17.33</v>
      </c>
    </row>
    <row r="34" spans="1:4" ht="12.75">
      <c r="A34" s="9" t="s">
        <v>54</v>
      </c>
      <c r="B34" s="8">
        <v>39.7</v>
      </c>
      <c r="C34" s="13">
        <v>52.44</v>
      </c>
      <c r="D34" s="8">
        <f t="shared" si="1"/>
        <v>-12.739999999999995</v>
      </c>
    </row>
    <row r="35" spans="1:4" ht="12.75">
      <c r="A35" s="9" t="s">
        <v>55</v>
      </c>
      <c r="B35" s="8">
        <v>39.7</v>
      </c>
      <c r="C35" s="13">
        <v>43.24</v>
      </c>
      <c r="D35" s="13">
        <f t="shared" si="1"/>
        <v>-3.539999999999999</v>
      </c>
    </row>
    <row r="36" spans="1:4" ht="12.75">
      <c r="A36" s="9" t="s">
        <v>56</v>
      </c>
      <c r="B36" s="8">
        <v>39.7</v>
      </c>
      <c r="C36" s="13">
        <v>32.39</v>
      </c>
      <c r="D36" s="13">
        <f>B36-C36</f>
        <v>7.310000000000002</v>
      </c>
    </row>
    <row r="37" spans="1:4" ht="12.75">
      <c r="A37" s="9" t="s">
        <v>57</v>
      </c>
      <c r="B37" s="8">
        <v>39.7</v>
      </c>
      <c r="C37" s="13">
        <v>67.81</v>
      </c>
      <c r="D37" s="13">
        <f>B37-C37</f>
        <v>-28.11</v>
      </c>
    </row>
    <row r="38" spans="1:4" ht="12.75">
      <c r="A38" s="9" t="s">
        <v>60</v>
      </c>
      <c r="B38" s="8">
        <f>B12+B25</f>
        <v>1268533.52</v>
      </c>
      <c r="C38" s="8">
        <f>C12+C25</f>
        <v>1150922.7100000002</v>
      </c>
      <c r="D38" s="8">
        <f>D12+D25</f>
        <v>117610.80999999994</v>
      </c>
    </row>
    <row r="40" spans="1:4" ht="12.75">
      <c r="A40" t="s">
        <v>61</v>
      </c>
      <c r="D40" s="12">
        <f>D38</f>
        <v>117610.80999999994</v>
      </c>
    </row>
    <row r="42" spans="1:4" ht="12.75">
      <c r="A42" s="11" t="s">
        <v>62</v>
      </c>
      <c r="D42" s="12">
        <f>D43+D44</f>
        <v>75915.78</v>
      </c>
    </row>
    <row r="43" spans="1:4" ht="12.75">
      <c r="A43" s="11" t="s">
        <v>63</v>
      </c>
      <c r="D43" s="12">
        <f>(1.33*12*D4)</f>
        <v>64310.82000000001</v>
      </c>
    </row>
    <row r="44" spans="1:4" ht="12.75">
      <c r="A44" s="11" t="s">
        <v>64</v>
      </c>
      <c r="D44" s="12">
        <f>(0.24*12*D4)</f>
        <v>11604.96</v>
      </c>
    </row>
    <row r="45" spans="1:4" ht="12.75">
      <c r="A45" s="11" t="s">
        <v>65</v>
      </c>
      <c r="D45" s="12">
        <v>0</v>
      </c>
    </row>
    <row r="46" spans="1:4" ht="12.75">
      <c r="A46" s="11" t="s">
        <v>109</v>
      </c>
      <c r="D46" s="12">
        <f>996.6*0.22*4+(996.6*2.5)</f>
        <v>3368.508</v>
      </c>
    </row>
    <row r="47" spans="1:4" ht="12.75">
      <c r="A47" s="11" t="s">
        <v>121</v>
      </c>
      <c r="D47" s="12">
        <f>(2.66*6*D4)</f>
        <v>64310.82000000001</v>
      </c>
    </row>
    <row r="48" spans="1:4" ht="12.75">
      <c r="A48" s="11" t="s">
        <v>66</v>
      </c>
      <c r="D48" s="12">
        <v>0</v>
      </c>
    </row>
    <row r="49" spans="1:4" ht="12.75">
      <c r="A49" s="11" t="s">
        <v>108</v>
      </c>
      <c r="D49" s="12">
        <f>(0.72*3*D4)</f>
        <v>8703.720000000001</v>
      </c>
    </row>
    <row r="50" spans="1:4" ht="12.75">
      <c r="A50" s="11" t="s">
        <v>67</v>
      </c>
      <c r="D50" s="12">
        <f>(1.45*12*D4)</f>
        <v>70113.29999999999</v>
      </c>
    </row>
    <row r="51" spans="1:4" ht="12.75">
      <c r="A51" s="11" t="s">
        <v>68</v>
      </c>
      <c r="D51" s="12">
        <f>(5.11*12*D4)</f>
        <v>247088.94000000003</v>
      </c>
    </row>
    <row r="52" spans="1:4" ht="12.75">
      <c r="A52" s="11" t="s">
        <v>69</v>
      </c>
      <c r="D52" s="12">
        <f>(0.29*12*D4)</f>
        <v>14022.659999999998</v>
      </c>
    </row>
    <row r="53" spans="1:4" ht="12.75">
      <c r="A53" s="11" t="s">
        <v>110</v>
      </c>
      <c r="D53" s="12">
        <f>(3.87*12*D4)</f>
        <v>187129.97999999998</v>
      </c>
    </row>
    <row r="54" spans="1:4" ht="12.75">
      <c r="A54" s="11" t="s">
        <v>70</v>
      </c>
      <c r="D54" s="12">
        <f>2.25*12*D5</f>
        <v>2916</v>
      </c>
    </row>
    <row r="55" spans="1:4" ht="12.75">
      <c r="A55" s="11" t="s">
        <v>71</v>
      </c>
      <c r="D55" s="12">
        <v>70464</v>
      </c>
    </row>
    <row r="56" spans="1:4" ht="12.75">
      <c r="A56" s="11" t="s">
        <v>72</v>
      </c>
      <c r="D56" s="12">
        <f>(0.7*12*D4)</f>
        <v>33847.799999999996</v>
      </c>
    </row>
    <row r="57" spans="1:4" ht="12.75" hidden="1">
      <c r="A57" s="14" t="s">
        <v>96</v>
      </c>
      <c r="D57" s="12">
        <v>0</v>
      </c>
    </row>
    <row r="58" spans="1:4" ht="12.75">
      <c r="A58" s="11" t="s">
        <v>98</v>
      </c>
      <c r="D58" s="12">
        <f>(4.66*12*D4)</f>
        <v>225329.64</v>
      </c>
    </row>
    <row r="59" spans="1:4" ht="12.75">
      <c r="A59" s="11"/>
      <c r="D59" s="12"/>
    </row>
    <row r="60" spans="1:4" ht="12.75">
      <c r="A60" s="11" t="s">
        <v>73</v>
      </c>
      <c r="D60" s="12">
        <f>D42+D45+D47+D48+D50+D51+D52+D53+D54+D55+D56+D57+D58-D57+D46+D49</f>
        <v>1003211.148</v>
      </c>
    </row>
    <row r="61" spans="1:4" ht="12.75">
      <c r="A61" s="11"/>
      <c r="D61" s="12"/>
    </row>
    <row r="62" spans="1:4" ht="12.75">
      <c r="A62" t="s">
        <v>100</v>
      </c>
      <c r="D62" s="12">
        <f>C38-D60</f>
        <v>147711.56200000015</v>
      </c>
    </row>
    <row r="64" spans="2:3" ht="12.75" hidden="1">
      <c r="B64">
        <v>372</v>
      </c>
      <c r="C64" t="s">
        <v>124</v>
      </c>
    </row>
    <row r="65" ht="12.75" hidden="1"/>
    <row r="66" spans="2:3" ht="12.75" hidden="1">
      <c r="B66">
        <v>917</v>
      </c>
      <c r="C66" t="s">
        <v>124</v>
      </c>
    </row>
    <row r="67" spans="2:3" ht="12.75" hidden="1">
      <c r="B67">
        <v>36537</v>
      </c>
      <c r="C67" t="s">
        <v>26</v>
      </c>
    </row>
    <row r="68" spans="2:3" ht="12.75" hidden="1">
      <c r="B68">
        <v>10473</v>
      </c>
      <c r="C68" t="s">
        <v>127</v>
      </c>
    </row>
    <row r="69" ht="12.75" hidden="1"/>
    <row r="70" ht="12.75" hidden="1"/>
    <row r="71" ht="12.75" hidden="1"/>
    <row r="72" spans="2:3" ht="12.75" hidden="1">
      <c r="B72">
        <v>974</v>
      </c>
      <c r="C72" t="s">
        <v>27</v>
      </c>
    </row>
    <row r="73" spans="2:3" ht="12.75" hidden="1">
      <c r="B73">
        <v>5297</v>
      </c>
      <c r="C73" t="s">
        <v>22</v>
      </c>
    </row>
    <row r="74" spans="2:3" ht="12.75" hidden="1">
      <c r="B74">
        <v>13930</v>
      </c>
      <c r="C74" t="s">
        <v>127</v>
      </c>
    </row>
    <row r="75" spans="2:3" ht="12.75" hidden="1">
      <c r="B75">
        <v>1964</v>
      </c>
      <c r="C75" t="s">
        <v>127</v>
      </c>
    </row>
    <row r="76" ht="12.75" hidden="1"/>
    <row r="77" ht="12.75" hidden="1">
      <c r="B77">
        <f>SUM(B64:B76)</f>
        <v>70464</v>
      </c>
    </row>
    <row r="78" ht="12.75" hidden="1"/>
    <row r="81" ht="12.75" hidden="1"/>
    <row r="82" ht="12.75" hidden="1"/>
    <row r="88" ht="12.75" hidden="1"/>
    <row r="89" ht="12.75" hidden="1"/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2"/>
  </sheetPr>
  <dimension ref="A1:G74"/>
  <sheetViews>
    <sheetView zoomScalePageLayoutView="0" workbookViewId="0" topLeftCell="A35">
      <selection activeCell="A65" sqref="A65:IV75"/>
    </sheetView>
  </sheetViews>
  <sheetFormatPr defaultColWidth="9.140625" defaultRowHeight="12.75"/>
  <cols>
    <col min="2" max="3" width="14.140625" style="0" bestFit="1" customWidth="1"/>
    <col min="4" max="4" width="14.00390625" style="0" bestFit="1" customWidth="1"/>
  </cols>
  <sheetData>
    <row r="1" spans="1:4" ht="12.75">
      <c r="A1" s="24" t="s">
        <v>3</v>
      </c>
      <c r="B1" s="24"/>
      <c r="C1" s="24"/>
      <c r="D1" s="24"/>
    </row>
    <row r="2" spans="1:4" ht="12.75">
      <c r="A2" s="24" t="s">
        <v>4</v>
      </c>
      <c r="B2" s="24"/>
      <c r="C2" s="24"/>
      <c r="D2" s="24"/>
    </row>
    <row r="3" spans="1:7" ht="12.75">
      <c r="A3" s="1" t="s">
        <v>34</v>
      </c>
      <c r="B3" s="2" t="s">
        <v>35</v>
      </c>
      <c r="C3" s="1" t="s">
        <v>86</v>
      </c>
      <c r="D3" s="1"/>
      <c r="E3" s="1" t="s">
        <v>36</v>
      </c>
      <c r="F3" s="3">
        <v>40</v>
      </c>
      <c r="G3" s="21">
        <v>2018</v>
      </c>
    </row>
    <row r="5" spans="1:5" ht="12.75">
      <c r="A5" t="s">
        <v>37</v>
      </c>
      <c r="D5" s="4">
        <v>4062.2</v>
      </c>
      <c r="E5" s="5" t="s">
        <v>74</v>
      </c>
    </row>
    <row r="6" spans="1:5" ht="12.75">
      <c r="A6" t="s">
        <v>38</v>
      </c>
      <c r="D6" s="4">
        <v>109</v>
      </c>
      <c r="E6" s="5"/>
    </row>
    <row r="7" spans="1:5" ht="12.75">
      <c r="A7" t="s">
        <v>39</v>
      </c>
      <c r="D7" s="4">
        <v>203</v>
      </c>
      <c r="E7" s="5" t="s">
        <v>40</v>
      </c>
    </row>
    <row r="8" spans="1:5" ht="12.75">
      <c r="A8" t="s">
        <v>41</v>
      </c>
      <c r="D8" s="4">
        <v>869.2</v>
      </c>
      <c r="E8" s="5" t="s">
        <v>74</v>
      </c>
    </row>
    <row r="9" spans="1:5" ht="12.75">
      <c r="A9" t="s">
        <v>42</v>
      </c>
      <c r="D9" s="4">
        <v>323</v>
      </c>
      <c r="E9" s="5" t="s">
        <v>74</v>
      </c>
    </row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1284215.9599999997</v>
      </c>
      <c r="C13" s="8">
        <f>SUM(C14:C25)</f>
        <v>1224722.69</v>
      </c>
      <c r="D13" s="8">
        <f>SUM(D14:D25)</f>
        <v>59493.27000000002</v>
      </c>
    </row>
    <row r="14" spans="1:4" ht="12.75">
      <c r="A14" s="9" t="s">
        <v>59</v>
      </c>
      <c r="B14" s="8">
        <v>112198.21</v>
      </c>
      <c r="C14" s="8">
        <v>104265.66</v>
      </c>
      <c r="D14" s="8">
        <f aca="true" t="shared" si="0" ref="D14:D25">B14-C14</f>
        <v>7932.550000000003</v>
      </c>
    </row>
    <row r="15" spans="1:4" ht="12.75">
      <c r="A15" s="9" t="s">
        <v>47</v>
      </c>
      <c r="B15" s="8">
        <v>112198.21</v>
      </c>
      <c r="C15" s="13">
        <v>106811.23</v>
      </c>
      <c r="D15" s="8">
        <f t="shared" si="0"/>
        <v>5386.9800000000105</v>
      </c>
    </row>
    <row r="16" spans="1:4" ht="12.75">
      <c r="A16" s="9" t="s">
        <v>48</v>
      </c>
      <c r="B16" s="8">
        <v>112198.21</v>
      </c>
      <c r="C16" s="13">
        <v>108280.95</v>
      </c>
      <c r="D16" s="8">
        <f t="shared" si="0"/>
        <v>3917.2600000000093</v>
      </c>
    </row>
    <row r="17" spans="1:4" ht="12.75">
      <c r="A17" s="9" t="s">
        <v>49</v>
      </c>
      <c r="B17" s="8">
        <v>112198.21</v>
      </c>
      <c r="C17" s="13">
        <v>104260.04</v>
      </c>
      <c r="D17" s="8">
        <f>B17-C17</f>
        <v>7938.170000000013</v>
      </c>
    </row>
    <row r="18" spans="1:4" ht="12.75">
      <c r="A18" s="9" t="s">
        <v>50</v>
      </c>
      <c r="B18" s="8">
        <v>112198.21</v>
      </c>
      <c r="C18" s="13">
        <v>99761.74</v>
      </c>
      <c r="D18" s="8">
        <f>B18-C18</f>
        <v>12436.470000000001</v>
      </c>
    </row>
    <row r="19" spans="1:4" ht="12.75">
      <c r="A19" s="9" t="s">
        <v>51</v>
      </c>
      <c r="B19" s="8">
        <v>112198.21</v>
      </c>
      <c r="C19" s="13">
        <v>109653.3</v>
      </c>
      <c r="D19" s="8">
        <f t="shared" si="0"/>
        <v>2544.9100000000035</v>
      </c>
    </row>
    <row r="20" spans="1:4" ht="12.75">
      <c r="A20" s="9" t="s">
        <v>52</v>
      </c>
      <c r="B20" s="8">
        <v>101839.45</v>
      </c>
      <c r="C20" s="13">
        <v>95144.98</v>
      </c>
      <c r="D20" s="8">
        <f t="shared" si="0"/>
        <v>6694.470000000001</v>
      </c>
    </row>
    <row r="21" spans="1:4" ht="12.75">
      <c r="A21" s="9" t="s">
        <v>53</v>
      </c>
      <c r="B21" s="8">
        <v>101839.45</v>
      </c>
      <c r="C21" s="13">
        <v>116897.17</v>
      </c>
      <c r="D21" s="8">
        <f t="shared" si="0"/>
        <v>-15057.720000000001</v>
      </c>
    </row>
    <row r="22" spans="1:4" ht="12.75">
      <c r="A22" s="9" t="s">
        <v>54</v>
      </c>
      <c r="B22" s="8">
        <v>101836.95</v>
      </c>
      <c r="C22" s="13">
        <v>90366.94</v>
      </c>
      <c r="D22" s="8">
        <f t="shared" si="0"/>
        <v>11470.009999999995</v>
      </c>
    </row>
    <row r="23" spans="1:4" ht="12.75">
      <c r="A23" s="9" t="s">
        <v>55</v>
      </c>
      <c r="B23" s="8">
        <v>101836.95</v>
      </c>
      <c r="C23" s="13">
        <v>95410.57</v>
      </c>
      <c r="D23" s="13">
        <f t="shared" si="0"/>
        <v>6426.37999999999</v>
      </c>
    </row>
    <row r="24" spans="1:4" ht="12.75">
      <c r="A24" s="9" t="s">
        <v>56</v>
      </c>
      <c r="B24" s="8">
        <v>101836.95</v>
      </c>
      <c r="C24" s="13">
        <v>91326.69</v>
      </c>
      <c r="D24" s="13">
        <f t="shared" si="0"/>
        <v>10510.259999999995</v>
      </c>
    </row>
    <row r="25" spans="1:4" ht="12.75">
      <c r="A25" s="9" t="s">
        <v>57</v>
      </c>
      <c r="B25" s="8">
        <v>101836.95</v>
      </c>
      <c r="C25" s="13">
        <v>102543.42</v>
      </c>
      <c r="D25" s="13">
        <f t="shared" si="0"/>
        <v>-706.4700000000012</v>
      </c>
    </row>
    <row r="26" spans="1:4" ht="12.75">
      <c r="A26" s="7" t="s">
        <v>58</v>
      </c>
      <c r="B26" s="8">
        <f>SUM(B27:B38)</f>
        <v>696.1600000000001</v>
      </c>
      <c r="C26" s="8">
        <f>SUM(C27:C38)</f>
        <v>602.2399999999999</v>
      </c>
      <c r="D26" s="8">
        <f>SUM(D27:D38)</f>
        <v>93.92000000000004</v>
      </c>
    </row>
    <row r="27" spans="1:4" ht="12.75">
      <c r="A27" s="9" t="s">
        <v>59</v>
      </c>
      <c r="B27" s="8">
        <v>59.64</v>
      </c>
      <c r="C27" s="8">
        <v>51.34</v>
      </c>
      <c r="D27" s="8">
        <f aca="true" t="shared" si="1" ref="D27:D38">B27-C27</f>
        <v>8.299999999999997</v>
      </c>
    </row>
    <row r="28" spans="1:4" ht="12.75">
      <c r="A28" s="9" t="s">
        <v>47</v>
      </c>
      <c r="B28" s="8">
        <v>59.64</v>
      </c>
      <c r="C28" s="13">
        <v>45.06</v>
      </c>
      <c r="D28" s="8">
        <f t="shared" si="1"/>
        <v>14.579999999999998</v>
      </c>
    </row>
    <row r="29" spans="1:4" ht="12.75">
      <c r="A29" s="9" t="s">
        <v>48</v>
      </c>
      <c r="B29" s="8">
        <v>59.64</v>
      </c>
      <c r="C29" s="13">
        <v>42.58</v>
      </c>
      <c r="D29" s="8">
        <f t="shared" si="1"/>
        <v>17.060000000000002</v>
      </c>
    </row>
    <row r="30" spans="1:4" ht="12.75">
      <c r="A30" s="9" t="s">
        <v>49</v>
      </c>
      <c r="B30" s="8">
        <v>59.64</v>
      </c>
      <c r="C30" s="13">
        <v>45.07</v>
      </c>
      <c r="D30" s="8">
        <f t="shared" si="1"/>
        <v>14.57</v>
      </c>
    </row>
    <row r="31" spans="1:4" ht="12.75">
      <c r="A31" s="9" t="s">
        <v>50</v>
      </c>
      <c r="B31" s="8">
        <v>57.2</v>
      </c>
      <c r="C31" s="13">
        <v>47.46</v>
      </c>
      <c r="D31" s="8">
        <f t="shared" si="1"/>
        <v>9.740000000000002</v>
      </c>
    </row>
    <row r="32" spans="1:4" ht="12.75">
      <c r="A32" s="9" t="s">
        <v>51</v>
      </c>
      <c r="B32" s="8">
        <v>57.2</v>
      </c>
      <c r="C32" s="13">
        <v>46.12</v>
      </c>
      <c r="D32" s="8">
        <f t="shared" si="1"/>
        <v>11.080000000000005</v>
      </c>
    </row>
    <row r="33" spans="1:4" ht="12.75">
      <c r="A33" s="9" t="s">
        <v>52</v>
      </c>
      <c r="B33" s="8">
        <v>57.2</v>
      </c>
      <c r="C33" s="13">
        <v>44.96</v>
      </c>
      <c r="D33" s="8">
        <f t="shared" si="1"/>
        <v>12.240000000000002</v>
      </c>
    </row>
    <row r="34" spans="1:4" ht="12.75">
      <c r="A34" s="9" t="s">
        <v>53</v>
      </c>
      <c r="B34" s="8">
        <v>57.2</v>
      </c>
      <c r="C34" s="13">
        <v>68.33</v>
      </c>
      <c r="D34" s="8">
        <f t="shared" si="1"/>
        <v>-11.129999999999995</v>
      </c>
    </row>
    <row r="35" spans="1:4" ht="12.75">
      <c r="A35" s="9" t="s">
        <v>54</v>
      </c>
      <c r="B35" s="8">
        <v>57.2</v>
      </c>
      <c r="C35" s="13">
        <v>58.69</v>
      </c>
      <c r="D35" s="8">
        <f t="shared" si="1"/>
        <v>-1.4899999999999949</v>
      </c>
    </row>
    <row r="36" spans="1:4" ht="12.75">
      <c r="A36" s="9" t="s">
        <v>55</v>
      </c>
      <c r="B36" s="8">
        <v>57.2</v>
      </c>
      <c r="C36" s="13">
        <v>53.8</v>
      </c>
      <c r="D36" s="13">
        <f t="shared" si="1"/>
        <v>3.4000000000000057</v>
      </c>
    </row>
    <row r="37" spans="1:4" ht="12.75">
      <c r="A37" s="9" t="s">
        <v>56</v>
      </c>
      <c r="B37" s="8">
        <v>57.2</v>
      </c>
      <c r="C37" s="13">
        <v>46.16</v>
      </c>
      <c r="D37" s="13">
        <f t="shared" si="1"/>
        <v>11.040000000000006</v>
      </c>
    </row>
    <row r="38" spans="1:4" ht="12.75">
      <c r="A38" s="9" t="s">
        <v>57</v>
      </c>
      <c r="B38" s="8">
        <v>57.2</v>
      </c>
      <c r="C38" s="13">
        <v>52.67</v>
      </c>
      <c r="D38" s="13">
        <f t="shared" si="1"/>
        <v>4.530000000000001</v>
      </c>
    </row>
    <row r="39" spans="1:4" ht="12.75">
      <c r="A39" s="9" t="s">
        <v>60</v>
      </c>
      <c r="B39" s="8">
        <f>B13+B26</f>
        <v>1284912.1199999996</v>
      </c>
      <c r="C39" s="8">
        <f>C13+C26</f>
        <v>1225324.93</v>
      </c>
      <c r="D39" s="8">
        <f>D13+D26</f>
        <v>59587.19000000002</v>
      </c>
    </row>
    <row r="41" spans="1:4" ht="12.75">
      <c r="A41" t="s">
        <v>61</v>
      </c>
      <c r="D41" s="12">
        <f>D39</f>
        <v>59587.19000000002</v>
      </c>
    </row>
    <row r="43" spans="1:4" ht="12.75">
      <c r="A43" s="11" t="s">
        <v>62</v>
      </c>
      <c r="D43" s="12">
        <f>D44+D45</f>
        <v>76531.848</v>
      </c>
    </row>
    <row r="44" spans="1:4" ht="12.75">
      <c r="A44" s="11" t="s">
        <v>63</v>
      </c>
      <c r="D44" s="12">
        <f>(1.33*12*D5)</f>
        <v>64832.712</v>
      </c>
    </row>
    <row r="45" spans="1:4" ht="12.75">
      <c r="A45" s="11" t="s">
        <v>64</v>
      </c>
      <c r="D45" s="12">
        <f>(0.24*12*D5)</f>
        <v>11699.135999999999</v>
      </c>
    </row>
    <row r="46" spans="1:4" ht="12.75">
      <c r="A46" s="11" t="s">
        <v>65</v>
      </c>
      <c r="D46" s="12">
        <v>0</v>
      </c>
    </row>
    <row r="47" spans="1:4" ht="12.75">
      <c r="A47" s="11" t="s">
        <v>109</v>
      </c>
      <c r="D47" s="12">
        <f>1015.5*0.22*4+(1015.5*2.5)</f>
        <v>3432.39</v>
      </c>
    </row>
    <row r="48" spans="1:4" ht="12.75">
      <c r="A48" s="11" t="s">
        <v>121</v>
      </c>
      <c r="D48" s="12">
        <f>(2.66*12*D5)</f>
        <v>129665.424</v>
      </c>
    </row>
    <row r="49" spans="1:4" ht="12.75" hidden="1">
      <c r="A49" s="11" t="s">
        <v>66</v>
      </c>
      <c r="D49" s="12">
        <v>0</v>
      </c>
    </row>
    <row r="50" spans="1:4" ht="12.75">
      <c r="A50" s="11" t="s">
        <v>108</v>
      </c>
      <c r="D50" s="12">
        <f>(0.72*3*D5)</f>
        <v>8774.352</v>
      </c>
    </row>
    <row r="51" spans="1:4" ht="12.75">
      <c r="A51" s="11" t="s">
        <v>67</v>
      </c>
      <c r="D51" s="12">
        <f>(1.45*12*D5)</f>
        <v>70682.27999999998</v>
      </c>
    </row>
    <row r="52" spans="1:4" ht="12.75">
      <c r="A52" s="11" t="s">
        <v>68</v>
      </c>
      <c r="D52" s="12">
        <f>(5.83*12*D5)</f>
        <v>284191.51200000005</v>
      </c>
    </row>
    <row r="53" spans="1:4" ht="12.75">
      <c r="A53" s="11" t="s">
        <v>69</v>
      </c>
      <c r="D53" s="12">
        <f>(0.29*12*D5)</f>
        <v>14136.455999999998</v>
      </c>
    </row>
    <row r="54" spans="1:4" ht="12.75">
      <c r="A54" s="11" t="s">
        <v>110</v>
      </c>
      <c r="D54" s="12">
        <f>(3.87*12*D5)</f>
        <v>188648.56799999997</v>
      </c>
    </row>
    <row r="55" spans="1:4" ht="12.75">
      <c r="A55" s="11" t="s">
        <v>70</v>
      </c>
      <c r="D55" s="12">
        <f>2.25*12*D6</f>
        <v>2943</v>
      </c>
    </row>
    <row r="56" spans="1:4" ht="12.75">
      <c r="A56" s="11" t="s">
        <v>71</v>
      </c>
      <c r="D56" s="12">
        <v>27244.67</v>
      </c>
    </row>
    <row r="57" spans="1:4" ht="12.75">
      <c r="A57" s="11" t="s">
        <v>72</v>
      </c>
      <c r="D57" s="12">
        <f>(0.7*12*D5)</f>
        <v>34122.479999999996</v>
      </c>
    </row>
    <row r="58" spans="1:4" ht="12.75" hidden="1">
      <c r="A58" s="14" t="s">
        <v>96</v>
      </c>
      <c r="D58" s="12">
        <v>0</v>
      </c>
    </row>
    <row r="59" spans="1:4" ht="12.75">
      <c r="A59" s="11" t="s">
        <v>98</v>
      </c>
      <c r="D59" s="12">
        <f>(4.66*12*D5)</f>
        <v>227158.224</v>
      </c>
    </row>
    <row r="60" spans="1:4" ht="12.75">
      <c r="A60" s="11"/>
      <c r="D60" s="12"/>
    </row>
    <row r="61" spans="1:4" ht="12.75">
      <c r="A61" s="11" t="s">
        <v>73</v>
      </c>
      <c r="D61" s="12">
        <f>D43+D46+D48+D49+D51+D52+D53+D54+D55+D56+D57+D58+D59-D58+D47+D50</f>
        <v>1067531.204</v>
      </c>
    </row>
    <row r="62" spans="1:4" ht="12.75">
      <c r="A62" s="11"/>
      <c r="D62" s="12"/>
    </row>
    <row r="63" spans="1:4" ht="12.75">
      <c r="A63" t="s">
        <v>100</v>
      </c>
      <c r="D63" s="12">
        <f>C39-D61</f>
        <v>157793.72600000002</v>
      </c>
    </row>
    <row r="65" ht="12.75" hidden="1">
      <c r="A65" s="11" t="s">
        <v>71</v>
      </c>
    </row>
    <row r="66" ht="12.75" hidden="1"/>
    <row r="67" spans="1:2" ht="12.75" hidden="1">
      <c r="A67">
        <v>6696</v>
      </c>
      <c r="B67" t="s">
        <v>163</v>
      </c>
    </row>
    <row r="68" spans="1:2" ht="12.75" hidden="1">
      <c r="A68">
        <v>670</v>
      </c>
      <c r="B68" t="s">
        <v>179</v>
      </c>
    </row>
    <row r="69" spans="1:2" ht="12.75" hidden="1">
      <c r="A69">
        <v>949</v>
      </c>
      <c r="B69" t="s">
        <v>124</v>
      </c>
    </row>
    <row r="70" spans="1:2" ht="12.75" hidden="1">
      <c r="A70">
        <v>724</v>
      </c>
      <c r="B70" t="s">
        <v>27</v>
      </c>
    </row>
    <row r="71" spans="1:2" ht="12.75" hidden="1">
      <c r="A71">
        <v>2711</v>
      </c>
      <c r="B71" t="s">
        <v>20</v>
      </c>
    </row>
    <row r="72" spans="1:2" ht="12.75" hidden="1">
      <c r="A72">
        <v>8293.67</v>
      </c>
      <c r="B72" t="s">
        <v>128</v>
      </c>
    </row>
    <row r="73" spans="1:2" ht="12.75" hidden="1">
      <c r="A73">
        <v>7201</v>
      </c>
      <c r="B73" t="s">
        <v>127</v>
      </c>
    </row>
    <row r="74" ht="12.75" hidden="1">
      <c r="A74">
        <f>SUM(A67:A73)</f>
        <v>27244.67</v>
      </c>
    </row>
    <row r="75" ht="12.75" hidden="1"/>
  </sheetData>
  <sheetProtection/>
  <mergeCells count="2">
    <mergeCell ref="A1:D1"/>
    <mergeCell ref="A2:D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2"/>
  </sheetPr>
  <dimension ref="A1:G80"/>
  <sheetViews>
    <sheetView zoomScalePageLayoutView="0" workbookViewId="0" topLeftCell="A32">
      <selection activeCell="A64" sqref="A64:IV81"/>
    </sheetView>
  </sheetViews>
  <sheetFormatPr defaultColWidth="9.140625" defaultRowHeight="12.75"/>
  <cols>
    <col min="2" max="3" width="14.140625" style="0" bestFit="1" customWidth="1"/>
    <col min="4" max="4" width="14.00390625" style="0" bestFit="1" customWidth="1"/>
  </cols>
  <sheetData>
    <row r="1" ht="12.75">
      <c r="A1" t="s">
        <v>10</v>
      </c>
    </row>
    <row r="2" spans="1:7" ht="12.75">
      <c r="A2" s="1" t="s">
        <v>34</v>
      </c>
      <c r="B2" s="2" t="s">
        <v>35</v>
      </c>
      <c r="C2" s="1" t="s">
        <v>86</v>
      </c>
      <c r="D2" s="1"/>
      <c r="E2" s="1" t="s">
        <v>36</v>
      </c>
      <c r="F2" s="3">
        <v>43</v>
      </c>
      <c r="G2" s="21">
        <v>2018</v>
      </c>
    </row>
    <row r="3" ht="12.75" hidden="1"/>
    <row r="4" spans="1:5" ht="12.75">
      <c r="A4" t="s">
        <v>37</v>
      </c>
      <c r="D4" s="4">
        <v>8159.55</v>
      </c>
      <c r="E4" s="5" t="s">
        <v>74</v>
      </c>
    </row>
    <row r="5" spans="1:5" ht="12.75">
      <c r="A5" t="s">
        <v>38</v>
      </c>
      <c r="D5" s="4">
        <v>147</v>
      </c>
      <c r="E5" s="5"/>
    </row>
    <row r="6" spans="1:5" ht="12.75">
      <c r="A6" t="s">
        <v>39</v>
      </c>
      <c r="D6" s="4">
        <v>422</v>
      </c>
      <c r="E6" s="5" t="s">
        <v>40</v>
      </c>
    </row>
    <row r="7" spans="1:5" ht="12.75">
      <c r="A7" t="s">
        <v>41</v>
      </c>
      <c r="D7" s="4">
        <v>1395.9</v>
      </c>
      <c r="E7" s="5" t="s">
        <v>74</v>
      </c>
    </row>
    <row r="8" spans="1:5" ht="12.75">
      <c r="A8" t="s">
        <v>42</v>
      </c>
      <c r="D8" s="4">
        <v>830</v>
      </c>
      <c r="E8" s="5" t="s">
        <v>74</v>
      </c>
    </row>
    <row r="9" ht="12.75" hidden="1"/>
    <row r="10" ht="12.75" hidden="1"/>
    <row r="11" spans="2:4" ht="12.75">
      <c r="B11" s="6" t="s">
        <v>43</v>
      </c>
      <c r="C11" s="6" t="s">
        <v>44</v>
      </c>
      <c r="D11" s="6" t="s">
        <v>45</v>
      </c>
    </row>
    <row r="12" spans="1:4" ht="12.75">
      <c r="A12" s="7" t="s">
        <v>46</v>
      </c>
      <c r="B12" s="8">
        <f>SUM(B13:B24)</f>
        <v>2135352.66</v>
      </c>
      <c r="C12" s="8">
        <f>SUM(C13:C24)</f>
        <v>2145926.8200000003</v>
      </c>
      <c r="D12" s="8">
        <f>SUM(D13:D24)</f>
        <v>-10574.159999999887</v>
      </c>
    </row>
    <row r="13" spans="1:4" ht="12.75">
      <c r="A13" s="9" t="s">
        <v>59</v>
      </c>
      <c r="B13" s="8">
        <v>186594.54</v>
      </c>
      <c r="C13" s="8">
        <v>189535.53</v>
      </c>
      <c r="D13" s="8">
        <f aca="true" t="shared" si="0" ref="D13:D24">B13-C13</f>
        <v>-2940.9899999999907</v>
      </c>
    </row>
    <row r="14" spans="1:4" ht="12.75">
      <c r="A14" s="9" t="s">
        <v>47</v>
      </c>
      <c r="B14" s="8">
        <v>186594.54</v>
      </c>
      <c r="C14" s="13">
        <v>178652.22</v>
      </c>
      <c r="D14" s="8">
        <f t="shared" si="0"/>
        <v>7942.320000000007</v>
      </c>
    </row>
    <row r="15" spans="1:4" ht="12.75">
      <c r="A15" s="9" t="s">
        <v>48</v>
      </c>
      <c r="B15" s="8">
        <v>186594.54</v>
      </c>
      <c r="C15" s="13">
        <v>190194.67</v>
      </c>
      <c r="D15" s="8">
        <f t="shared" si="0"/>
        <v>-3600.1300000000047</v>
      </c>
    </row>
    <row r="16" spans="1:4" ht="12.75">
      <c r="A16" s="9" t="s">
        <v>49</v>
      </c>
      <c r="B16" s="8">
        <v>186594.54</v>
      </c>
      <c r="C16" s="13">
        <v>179948.94</v>
      </c>
      <c r="D16" s="8">
        <f t="shared" si="0"/>
        <v>6645.600000000006</v>
      </c>
    </row>
    <row r="17" spans="1:4" ht="12.75">
      <c r="A17" s="9" t="s">
        <v>50</v>
      </c>
      <c r="B17" s="8">
        <v>186594.54</v>
      </c>
      <c r="C17" s="13">
        <v>178493.18</v>
      </c>
      <c r="D17" s="8">
        <f t="shared" si="0"/>
        <v>8101.360000000015</v>
      </c>
    </row>
    <row r="18" spans="1:4" ht="12.75">
      <c r="A18" s="9" t="s">
        <v>51</v>
      </c>
      <c r="B18" s="8">
        <v>186594.54</v>
      </c>
      <c r="C18" s="13">
        <v>191113.88</v>
      </c>
      <c r="D18" s="8">
        <f t="shared" si="0"/>
        <v>-4519.3399999999965</v>
      </c>
    </row>
    <row r="19" spans="1:4" ht="12.75">
      <c r="A19" s="9" t="s">
        <v>52</v>
      </c>
      <c r="B19" s="13">
        <v>169297.57</v>
      </c>
      <c r="C19" s="13">
        <v>186820.84</v>
      </c>
      <c r="D19" s="8">
        <f t="shared" si="0"/>
        <v>-17523.26999999999</v>
      </c>
    </row>
    <row r="20" spans="1:4" ht="12.75">
      <c r="A20" s="9" t="s">
        <v>53</v>
      </c>
      <c r="B20" s="13">
        <v>169297.57</v>
      </c>
      <c r="C20" s="13">
        <v>165877.56</v>
      </c>
      <c r="D20" s="8">
        <f t="shared" si="0"/>
        <v>3420.0100000000093</v>
      </c>
    </row>
    <row r="21" spans="1:4" ht="12.75">
      <c r="A21" s="9" t="s">
        <v>54</v>
      </c>
      <c r="B21" s="13">
        <v>169297.57</v>
      </c>
      <c r="C21" s="13">
        <v>170527.55</v>
      </c>
      <c r="D21" s="8">
        <f t="shared" si="0"/>
        <v>-1229.9799999999814</v>
      </c>
    </row>
    <row r="22" spans="1:4" ht="12.75">
      <c r="A22" s="9" t="s">
        <v>55</v>
      </c>
      <c r="B22" s="13">
        <v>169297.57</v>
      </c>
      <c r="C22" s="13">
        <v>186816.09</v>
      </c>
      <c r="D22" s="13">
        <f t="shared" si="0"/>
        <v>-17518.51999999999</v>
      </c>
    </row>
    <row r="23" spans="1:4" ht="12.75">
      <c r="A23" s="9" t="s">
        <v>56</v>
      </c>
      <c r="B23" s="13">
        <v>169297.57</v>
      </c>
      <c r="C23" s="13">
        <v>157586.36</v>
      </c>
      <c r="D23" s="13">
        <f t="shared" si="0"/>
        <v>11711.210000000021</v>
      </c>
    </row>
    <row r="24" spans="1:4" ht="12.75">
      <c r="A24" s="9" t="s">
        <v>57</v>
      </c>
      <c r="B24" s="13">
        <v>169297.57</v>
      </c>
      <c r="C24" s="13">
        <v>170360</v>
      </c>
      <c r="D24" s="13">
        <f t="shared" si="0"/>
        <v>-1062.429999999993</v>
      </c>
    </row>
    <row r="25" spans="1:4" ht="12.75">
      <c r="A25" s="7" t="s">
        <v>58</v>
      </c>
      <c r="B25" s="8">
        <f>SUM(B26:B37)</f>
        <v>594.6</v>
      </c>
      <c r="C25" s="8">
        <f>SUM(C26:C37)</f>
        <v>577.53</v>
      </c>
      <c r="D25" s="8">
        <f>SUM(D26:D37)</f>
        <v>17.06999999999995</v>
      </c>
    </row>
    <row r="26" spans="1:4" ht="12.75">
      <c r="A26" s="9" t="s">
        <v>59</v>
      </c>
      <c r="B26" s="8">
        <v>49.55</v>
      </c>
      <c r="C26" s="8">
        <v>43.24</v>
      </c>
      <c r="D26" s="8">
        <f aca="true" t="shared" si="1" ref="D26:D37">B26-C26</f>
        <v>6.309999999999995</v>
      </c>
    </row>
    <row r="27" spans="1:4" ht="12.75">
      <c r="A27" s="9" t="s">
        <v>47</v>
      </c>
      <c r="B27" s="8">
        <v>49.55</v>
      </c>
      <c r="C27" s="13">
        <v>64.81</v>
      </c>
      <c r="D27" s="8">
        <f t="shared" si="1"/>
        <v>-15.260000000000005</v>
      </c>
    </row>
    <row r="28" spans="1:4" ht="12.75">
      <c r="A28" s="9" t="s">
        <v>48</v>
      </c>
      <c r="B28" s="8">
        <v>49.55</v>
      </c>
      <c r="C28" s="13">
        <v>40.7</v>
      </c>
      <c r="D28" s="8">
        <f t="shared" si="1"/>
        <v>8.849999999999994</v>
      </c>
    </row>
    <row r="29" spans="1:4" ht="12.75">
      <c r="A29" s="9" t="s">
        <v>49</v>
      </c>
      <c r="B29" s="8">
        <v>49.55</v>
      </c>
      <c r="C29" s="13">
        <v>44.92</v>
      </c>
      <c r="D29" s="8">
        <f t="shared" si="1"/>
        <v>4.6299999999999955</v>
      </c>
    </row>
    <row r="30" spans="1:4" ht="12.75">
      <c r="A30" s="9" t="s">
        <v>50</v>
      </c>
      <c r="B30" s="8">
        <v>49.55</v>
      </c>
      <c r="C30" s="13">
        <v>46.09</v>
      </c>
      <c r="D30" s="8">
        <f t="shared" si="1"/>
        <v>3.4599999999999937</v>
      </c>
    </row>
    <row r="31" spans="1:4" ht="12.75">
      <c r="A31" s="9" t="s">
        <v>51</v>
      </c>
      <c r="B31" s="8">
        <v>49.55</v>
      </c>
      <c r="C31" s="13">
        <v>42.85</v>
      </c>
      <c r="D31" s="8">
        <f t="shared" si="1"/>
        <v>6.699999999999996</v>
      </c>
    </row>
    <row r="32" spans="1:4" ht="12.75">
      <c r="A32" s="9" t="s">
        <v>52</v>
      </c>
      <c r="B32" s="8">
        <v>49.55</v>
      </c>
      <c r="C32" s="13">
        <v>51.36</v>
      </c>
      <c r="D32" s="8">
        <f t="shared" si="1"/>
        <v>-1.8100000000000023</v>
      </c>
    </row>
    <row r="33" spans="1:4" ht="12.75">
      <c r="A33" s="9" t="s">
        <v>53</v>
      </c>
      <c r="B33" s="8">
        <v>49.55</v>
      </c>
      <c r="C33" s="13">
        <v>38.63</v>
      </c>
      <c r="D33" s="8">
        <f t="shared" si="1"/>
        <v>10.919999999999995</v>
      </c>
    </row>
    <row r="34" spans="1:4" ht="12.75">
      <c r="A34" s="9" t="s">
        <v>54</v>
      </c>
      <c r="B34" s="8">
        <v>49.55</v>
      </c>
      <c r="C34" s="13">
        <v>56.68</v>
      </c>
      <c r="D34" s="8">
        <f t="shared" si="1"/>
        <v>-7.130000000000003</v>
      </c>
    </row>
    <row r="35" spans="1:4" ht="12.75">
      <c r="A35" s="9" t="s">
        <v>55</v>
      </c>
      <c r="B35" s="8">
        <v>49.55</v>
      </c>
      <c r="C35" s="13">
        <v>46.04</v>
      </c>
      <c r="D35" s="13">
        <f t="shared" si="1"/>
        <v>3.509999999999998</v>
      </c>
    </row>
    <row r="36" spans="1:4" ht="12.75">
      <c r="A36" s="9" t="s">
        <v>56</v>
      </c>
      <c r="B36" s="8">
        <v>49.55</v>
      </c>
      <c r="C36" s="13">
        <v>54.02</v>
      </c>
      <c r="D36" s="13">
        <f t="shared" si="1"/>
        <v>-4.470000000000006</v>
      </c>
    </row>
    <row r="37" spans="1:4" ht="12.75">
      <c r="A37" s="9" t="s">
        <v>57</v>
      </c>
      <c r="B37" s="8">
        <v>49.55</v>
      </c>
      <c r="C37" s="13">
        <v>48.19</v>
      </c>
      <c r="D37" s="13">
        <f t="shared" si="1"/>
        <v>1.3599999999999994</v>
      </c>
    </row>
    <row r="38" spans="1:4" ht="12.75">
      <c r="A38" s="9" t="s">
        <v>60</v>
      </c>
      <c r="B38" s="8">
        <f>B12+B25</f>
        <v>2135947.2600000002</v>
      </c>
      <c r="C38" s="8">
        <f>C12+C25</f>
        <v>2146504.35</v>
      </c>
      <c r="D38" s="8">
        <f>D12+D25</f>
        <v>-10557.089999999887</v>
      </c>
    </row>
    <row r="40" spans="1:4" ht="12.75">
      <c r="A40" t="s">
        <v>61</v>
      </c>
      <c r="D40" s="12">
        <f>D38</f>
        <v>-10557.089999999887</v>
      </c>
    </row>
    <row r="42" spans="1:4" ht="12.75">
      <c r="A42" s="11" t="s">
        <v>62</v>
      </c>
      <c r="D42" s="12">
        <f>D43+D44</f>
        <v>131205.564</v>
      </c>
    </row>
    <row r="43" spans="1:4" ht="12.75">
      <c r="A43" s="11" t="s">
        <v>63</v>
      </c>
      <c r="D43" s="12">
        <f>(1.1*12*D4)</f>
        <v>107706.06000000001</v>
      </c>
    </row>
    <row r="44" spans="1:4" ht="12.75">
      <c r="A44" s="11" t="s">
        <v>64</v>
      </c>
      <c r="D44" s="12">
        <f>(0.24*12*D4)</f>
        <v>23499.504</v>
      </c>
    </row>
    <row r="45" spans="1:4" ht="12.75">
      <c r="A45" s="11" t="s">
        <v>65</v>
      </c>
      <c r="D45" s="12">
        <v>0</v>
      </c>
    </row>
    <row r="46" spans="1:4" ht="12.75">
      <c r="A46" s="11" t="s">
        <v>109</v>
      </c>
      <c r="D46" s="12">
        <f>1062.6*0.22*4+(1062.6*2.5)</f>
        <v>3591.5879999999997</v>
      </c>
    </row>
    <row r="47" spans="1:4" ht="12.75">
      <c r="A47" s="11" t="s">
        <v>121</v>
      </c>
      <c r="D47" s="12">
        <f>(2.2*12*D4)</f>
        <v>215412.12000000002</v>
      </c>
    </row>
    <row r="48" spans="1:4" ht="12.75" hidden="1">
      <c r="A48" s="11" t="s">
        <v>66</v>
      </c>
      <c r="D48" s="12">
        <v>0</v>
      </c>
    </row>
    <row r="49" spans="1:4" ht="12.75">
      <c r="A49" s="11" t="s">
        <v>108</v>
      </c>
      <c r="D49" s="12">
        <f>(0.72*3*D4)+25000</f>
        <v>42624.628</v>
      </c>
    </row>
    <row r="50" spans="1:4" ht="12.75">
      <c r="A50" s="11" t="s">
        <v>67</v>
      </c>
      <c r="D50" s="12">
        <f>(1.2*12*D4)+50000</f>
        <v>167497.52</v>
      </c>
    </row>
    <row r="51" spans="1:4" ht="12.75">
      <c r="A51" s="11" t="s">
        <v>68</v>
      </c>
      <c r="D51" s="12">
        <f>(4.82*12*D4)+30000</f>
        <v>501948.37200000003</v>
      </c>
    </row>
    <row r="52" spans="1:4" ht="12.75">
      <c r="A52" s="11" t="s">
        <v>69</v>
      </c>
      <c r="D52" s="12">
        <f>(0.24*12*D4)</f>
        <v>23499.504</v>
      </c>
    </row>
    <row r="53" spans="1:4" ht="12.75">
      <c r="A53" s="11" t="s">
        <v>110</v>
      </c>
      <c r="D53" s="12">
        <f>(3.2*12*D4)</f>
        <v>313326.72000000003</v>
      </c>
    </row>
    <row r="54" spans="1:4" ht="12.75">
      <c r="A54" s="11" t="s">
        <v>70</v>
      </c>
      <c r="D54" s="12">
        <f>2.25*12*D5</f>
        <v>3969</v>
      </c>
    </row>
    <row r="55" spans="1:4" ht="12.75">
      <c r="A55" s="11" t="s">
        <v>71</v>
      </c>
      <c r="D55" s="12">
        <v>85915.25</v>
      </c>
    </row>
    <row r="56" spans="1:4" ht="12.75">
      <c r="A56" s="11" t="s">
        <v>72</v>
      </c>
      <c r="D56" s="12">
        <f>(0.57*12*D4)</f>
        <v>55811.322</v>
      </c>
    </row>
    <row r="57" spans="1:4" ht="12.75" hidden="1">
      <c r="A57" s="14" t="s">
        <v>96</v>
      </c>
      <c r="D57" s="12">
        <v>0</v>
      </c>
    </row>
    <row r="58" spans="1:4" ht="12.75">
      <c r="A58" s="11" t="s">
        <v>98</v>
      </c>
      <c r="D58" s="12">
        <f>(3.85*12*D4)</f>
        <v>376971.21</v>
      </c>
    </row>
    <row r="59" spans="1:4" ht="12.75">
      <c r="A59" s="11"/>
      <c r="D59" s="12"/>
    </row>
    <row r="60" spans="1:4" ht="12.75">
      <c r="A60" s="11" t="s">
        <v>73</v>
      </c>
      <c r="D60" s="12">
        <f>D42+D45+D47+D48+D50+D51+D52+D53+D54+D55+D56+D57+D58-D57+D46+D49</f>
        <v>1921772.798</v>
      </c>
    </row>
    <row r="61" spans="1:4" ht="12.75">
      <c r="A61" s="11"/>
      <c r="D61" s="12"/>
    </row>
    <row r="62" spans="1:4" ht="12.75">
      <c r="A62" t="s">
        <v>100</v>
      </c>
      <c r="D62" s="12">
        <f>C38-D60</f>
        <v>224731.55200000014</v>
      </c>
    </row>
    <row r="64" ht="12.75" hidden="1">
      <c r="A64" s="11" t="s">
        <v>71</v>
      </c>
    </row>
    <row r="65" ht="12.75" hidden="1"/>
    <row r="66" spans="2:3" ht="12.75" hidden="1">
      <c r="B66">
        <v>12318</v>
      </c>
      <c r="C66" t="s">
        <v>165</v>
      </c>
    </row>
    <row r="67" spans="2:3" ht="12.75" hidden="1">
      <c r="B67">
        <v>3185</v>
      </c>
      <c r="C67" t="s">
        <v>123</v>
      </c>
    </row>
    <row r="68" spans="2:3" ht="12.75" hidden="1">
      <c r="B68">
        <v>10361</v>
      </c>
      <c r="C68" t="s">
        <v>138</v>
      </c>
    </row>
    <row r="69" spans="2:3" ht="12.75" hidden="1">
      <c r="B69">
        <v>8398</v>
      </c>
      <c r="C69" t="s">
        <v>127</v>
      </c>
    </row>
    <row r="70" spans="2:3" ht="12.75" hidden="1">
      <c r="B70">
        <v>1138</v>
      </c>
      <c r="C70" t="s">
        <v>124</v>
      </c>
    </row>
    <row r="71" spans="2:3" ht="12.75" hidden="1">
      <c r="B71">
        <v>3920</v>
      </c>
      <c r="C71" t="s">
        <v>27</v>
      </c>
    </row>
    <row r="72" spans="2:3" ht="12.75" hidden="1">
      <c r="B72">
        <v>4926</v>
      </c>
      <c r="C72" t="s">
        <v>20</v>
      </c>
    </row>
    <row r="73" spans="2:3" ht="12.75" hidden="1">
      <c r="B73">
        <v>2119</v>
      </c>
      <c r="C73" t="s">
        <v>125</v>
      </c>
    </row>
    <row r="74" spans="2:3" ht="12.75" hidden="1">
      <c r="B74">
        <v>1303</v>
      </c>
      <c r="C74" t="s">
        <v>219</v>
      </c>
    </row>
    <row r="75" spans="2:3" ht="12.75" hidden="1">
      <c r="B75">
        <v>25636</v>
      </c>
      <c r="C75" t="s">
        <v>27</v>
      </c>
    </row>
    <row r="76" spans="2:3" ht="12.75" hidden="1">
      <c r="B76">
        <v>432.75</v>
      </c>
      <c r="C76" t="s">
        <v>24</v>
      </c>
    </row>
    <row r="77" spans="2:3" ht="12.75" hidden="1">
      <c r="B77">
        <v>622.5</v>
      </c>
      <c r="C77" t="s">
        <v>112</v>
      </c>
    </row>
    <row r="78" spans="2:3" ht="12.75" hidden="1">
      <c r="B78">
        <v>10250</v>
      </c>
      <c r="C78" t="s">
        <v>127</v>
      </c>
    </row>
    <row r="79" spans="2:3" ht="12.75" hidden="1">
      <c r="B79">
        <v>1306</v>
      </c>
      <c r="C79" t="s">
        <v>124</v>
      </c>
    </row>
    <row r="80" ht="12.75" hidden="1">
      <c r="B80">
        <f>SUM(B66:B79)</f>
        <v>85915.25</v>
      </c>
    </row>
    <row r="81" ht="12.75" hidden="1"/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2"/>
  </sheetPr>
  <dimension ref="A1:G67"/>
  <sheetViews>
    <sheetView zoomScalePageLayoutView="0" workbookViewId="0" topLeftCell="A31">
      <selection activeCell="A64" sqref="A64:IV68"/>
    </sheetView>
  </sheetViews>
  <sheetFormatPr defaultColWidth="9.140625" defaultRowHeight="12.75"/>
  <cols>
    <col min="2" max="3" width="12.421875" style="0" bestFit="1" customWidth="1"/>
    <col min="4" max="4" width="12.28125" style="0" bestFit="1" customWidth="1"/>
  </cols>
  <sheetData>
    <row r="1" spans="1:6" ht="24.75" customHeight="1">
      <c r="A1" s="25" t="s">
        <v>11</v>
      </c>
      <c r="B1" s="25"/>
      <c r="C1" s="25"/>
      <c r="D1" s="25"/>
      <c r="E1" s="25"/>
      <c r="F1" s="25"/>
    </row>
    <row r="3" spans="1:7" ht="12.75">
      <c r="A3" s="1" t="s">
        <v>34</v>
      </c>
      <c r="B3" s="2" t="s">
        <v>35</v>
      </c>
      <c r="C3" s="1" t="s">
        <v>87</v>
      </c>
      <c r="D3" s="1"/>
      <c r="E3" s="1" t="s">
        <v>36</v>
      </c>
      <c r="F3" s="3">
        <v>11</v>
      </c>
      <c r="G3" s="21">
        <v>2018</v>
      </c>
    </row>
    <row r="5" spans="1:5" ht="12.75">
      <c r="A5" t="s">
        <v>37</v>
      </c>
      <c r="D5" s="4">
        <v>1250.8</v>
      </c>
      <c r="E5" s="5" t="s">
        <v>74</v>
      </c>
    </row>
    <row r="6" spans="1:5" ht="12.75">
      <c r="A6" t="s">
        <v>38</v>
      </c>
      <c r="D6" s="4">
        <v>27</v>
      </c>
      <c r="E6" s="5"/>
    </row>
    <row r="7" spans="1:5" ht="12.75">
      <c r="A7" t="s">
        <v>39</v>
      </c>
      <c r="D7" s="4">
        <v>60</v>
      </c>
      <c r="E7" s="5" t="s">
        <v>40</v>
      </c>
    </row>
    <row r="8" spans="1:5" ht="12.75">
      <c r="A8" t="s">
        <v>41</v>
      </c>
      <c r="D8" s="4">
        <v>128.4</v>
      </c>
      <c r="E8" s="5" t="s">
        <v>74</v>
      </c>
    </row>
    <row r="9" spans="1:5" ht="12.75">
      <c r="A9" t="s">
        <v>42</v>
      </c>
      <c r="D9" s="4">
        <v>2469</v>
      </c>
      <c r="E9" s="5" t="s">
        <v>74</v>
      </c>
    </row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324958.0800000001</v>
      </c>
      <c r="C13" s="8">
        <f>SUM(C14:C25)</f>
        <v>328298.60000000003</v>
      </c>
      <c r="D13" s="8">
        <f>SUM(D14:D25)</f>
        <v>-3340.519999999993</v>
      </c>
    </row>
    <row r="14" spans="1:4" ht="12.75">
      <c r="A14" s="9" t="s">
        <v>59</v>
      </c>
      <c r="B14" s="8">
        <v>28718.4</v>
      </c>
      <c r="C14" s="8">
        <v>29887.29</v>
      </c>
      <c r="D14" s="8">
        <f aca="true" t="shared" si="0" ref="D14:D25">B14-C14</f>
        <v>-1168.8899999999994</v>
      </c>
    </row>
    <row r="15" spans="1:4" ht="12.75">
      <c r="A15" s="9" t="s">
        <v>47</v>
      </c>
      <c r="B15" s="8">
        <v>28718.4</v>
      </c>
      <c r="C15" s="13">
        <v>28684.76</v>
      </c>
      <c r="D15" s="8">
        <f t="shared" si="0"/>
        <v>33.640000000003056</v>
      </c>
    </row>
    <row r="16" spans="1:4" ht="12.75">
      <c r="A16" s="9" t="s">
        <v>48</v>
      </c>
      <c r="B16" s="8">
        <v>28718.4</v>
      </c>
      <c r="C16" s="13">
        <v>28647.35</v>
      </c>
      <c r="D16" s="8">
        <f t="shared" si="0"/>
        <v>71.05000000000291</v>
      </c>
    </row>
    <row r="17" spans="1:4" ht="12.75">
      <c r="A17" s="9" t="s">
        <v>49</v>
      </c>
      <c r="B17" s="8">
        <v>28718.4</v>
      </c>
      <c r="C17" s="13">
        <v>28745.9</v>
      </c>
      <c r="D17" s="8">
        <f t="shared" si="0"/>
        <v>-27.5</v>
      </c>
    </row>
    <row r="18" spans="1:4" ht="12.75">
      <c r="A18" s="9" t="s">
        <v>50</v>
      </c>
      <c r="B18" s="8">
        <v>28718.4</v>
      </c>
      <c r="C18" s="13">
        <v>27684.41</v>
      </c>
      <c r="D18" s="8">
        <f t="shared" si="0"/>
        <v>1033.9900000000016</v>
      </c>
    </row>
    <row r="19" spans="1:4" ht="12.75">
      <c r="A19" s="9" t="s">
        <v>51</v>
      </c>
      <c r="B19" s="8">
        <v>28718.4</v>
      </c>
      <c r="C19" s="13">
        <v>29731.36</v>
      </c>
      <c r="D19" s="8">
        <f t="shared" si="0"/>
        <v>-1012.9599999999991</v>
      </c>
    </row>
    <row r="20" spans="1:4" ht="12.75">
      <c r="A20" s="9" t="s">
        <v>52</v>
      </c>
      <c r="B20" s="8">
        <v>25441.28</v>
      </c>
      <c r="C20" s="13">
        <v>25510.39</v>
      </c>
      <c r="D20" s="8">
        <f t="shared" si="0"/>
        <v>-69.11000000000058</v>
      </c>
    </row>
    <row r="21" spans="1:4" ht="12.75">
      <c r="A21" s="9" t="s">
        <v>53</v>
      </c>
      <c r="B21" s="8">
        <v>25441.28</v>
      </c>
      <c r="C21" s="13">
        <v>24552.26</v>
      </c>
      <c r="D21" s="8">
        <f t="shared" si="0"/>
        <v>889.0200000000004</v>
      </c>
    </row>
    <row r="22" spans="1:4" ht="12.75">
      <c r="A22" s="9" t="s">
        <v>54</v>
      </c>
      <c r="B22" s="8">
        <v>25441.28</v>
      </c>
      <c r="C22" s="13">
        <v>25652.07</v>
      </c>
      <c r="D22" s="8">
        <f t="shared" si="0"/>
        <v>-210.79000000000087</v>
      </c>
    </row>
    <row r="23" spans="1:4" ht="12.75">
      <c r="A23" s="9" t="s">
        <v>55</v>
      </c>
      <c r="B23" s="8">
        <v>25441.28</v>
      </c>
      <c r="C23" s="13">
        <v>24395.97</v>
      </c>
      <c r="D23" s="13">
        <f t="shared" si="0"/>
        <v>1045.3099999999977</v>
      </c>
    </row>
    <row r="24" spans="1:4" ht="12.75">
      <c r="A24" s="9" t="s">
        <v>56</v>
      </c>
      <c r="B24" s="8">
        <v>25441.28</v>
      </c>
      <c r="C24" s="13">
        <v>21841.46</v>
      </c>
      <c r="D24" s="13">
        <f t="shared" si="0"/>
        <v>3599.8199999999997</v>
      </c>
    </row>
    <row r="25" spans="1:4" ht="12.75">
      <c r="A25" s="9" t="s">
        <v>57</v>
      </c>
      <c r="B25" s="8">
        <v>25441.28</v>
      </c>
      <c r="C25" s="13">
        <v>32965.38</v>
      </c>
      <c r="D25" s="13">
        <f t="shared" si="0"/>
        <v>-7524.0999999999985</v>
      </c>
    </row>
    <row r="26" spans="1:4" ht="12.75">
      <c r="A26" s="7" t="s">
        <v>58</v>
      </c>
      <c r="B26" s="8">
        <f>SUM(B27:B38)</f>
        <v>74.16</v>
      </c>
      <c r="C26" s="8">
        <f>SUM(C27:C38)</f>
        <v>80.72</v>
      </c>
      <c r="D26" s="8">
        <f>SUM(D27:D38)</f>
        <v>-6.560000000000001</v>
      </c>
    </row>
    <row r="27" spans="1:4" ht="12.75">
      <c r="A27" s="9" t="s">
        <v>59</v>
      </c>
      <c r="B27" s="8">
        <v>6.18</v>
      </c>
      <c r="C27" s="8">
        <v>6.18</v>
      </c>
      <c r="D27" s="8">
        <f aca="true" t="shared" si="1" ref="D27:D38">B27-C27</f>
        <v>0</v>
      </c>
    </row>
    <row r="28" spans="1:4" ht="12.75">
      <c r="A28" s="9" t="s">
        <v>47</v>
      </c>
      <c r="B28" s="8">
        <v>6.18</v>
      </c>
      <c r="C28" s="8">
        <v>6.18</v>
      </c>
      <c r="D28" s="8">
        <f t="shared" si="1"/>
        <v>0</v>
      </c>
    </row>
    <row r="29" spans="1:4" ht="12.75">
      <c r="A29" s="9" t="s">
        <v>48</v>
      </c>
      <c r="B29" s="8">
        <v>6.18</v>
      </c>
      <c r="C29" s="8">
        <v>6.18</v>
      </c>
      <c r="D29" s="8">
        <f t="shared" si="1"/>
        <v>0</v>
      </c>
    </row>
    <row r="30" spans="1:4" ht="12.75">
      <c r="A30" s="9" t="s">
        <v>49</v>
      </c>
      <c r="B30" s="8">
        <v>6.18</v>
      </c>
      <c r="C30" s="8">
        <v>6.18</v>
      </c>
      <c r="D30" s="8">
        <f t="shared" si="1"/>
        <v>0</v>
      </c>
    </row>
    <row r="31" spans="1:4" ht="12.75">
      <c r="A31" s="9" t="s">
        <v>50</v>
      </c>
      <c r="B31" s="8">
        <v>6.18</v>
      </c>
      <c r="C31" s="8">
        <v>6.18</v>
      </c>
      <c r="D31" s="8">
        <f t="shared" si="1"/>
        <v>0</v>
      </c>
    </row>
    <row r="32" spans="1:4" ht="12.75">
      <c r="A32" s="9" t="s">
        <v>51</v>
      </c>
      <c r="B32" s="8">
        <v>6.18</v>
      </c>
      <c r="C32" s="8">
        <v>6.18</v>
      </c>
      <c r="D32" s="8">
        <f t="shared" si="1"/>
        <v>0</v>
      </c>
    </row>
    <row r="33" spans="1:4" ht="12.75">
      <c r="A33" s="9" t="s">
        <v>52</v>
      </c>
      <c r="B33" s="8">
        <v>6.18</v>
      </c>
      <c r="C33" s="8">
        <v>6.18</v>
      </c>
      <c r="D33" s="8">
        <f t="shared" si="1"/>
        <v>0</v>
      </c>
    </row>
    <row r="34" spans="1:4" ht="12.75">
      <c r="A34" s="9" t="s">
        <v>53</v>
      </c>
      <c r="B34" s="8">
        <v>6.18</v>
      </c>
      <c r="C34" s="8">
        <v>2.9</v>
      </c>
      <c r="D34" s="8">
        <f t="shared" si="1"/>
        <v>3.28</v>
      </c>
    </row>
    <row r="35" spans="1:4" ht="12.75">
      <c r="A35" s="9" t="s">
        <v>54</v>
      </c>
      <c r="B35" s="8">
        <v>6.18</v>
      </c>
      <c r="C35" s="8">
        <v>9.46</v>
      </c>
      <c r="D35" s="8">
        <f t="shared" si="1"/>
        <v>-3.280000000000001</v>
      </c>
    </row>
    <row r="36" spans="1:4" ht="12.75">
      <c r="A36" s="9" t="s">
        <v>55</v>
      </c>
      <c r="B36" s="8">
        <v>6.18</v>
      </c>
      <c r="C36" s="8">
        <v>6.18</v>
      </c>
      <c r="D36" s="13">
        <f t="shared" si="1"/>
        <v>0</v>
      </c>
    </row>
    <row r="37" spans="1:4" ht="12.75">
      <c r="A37" s="9" t="s">
        <v>56</v>
      </c>
      <c r="B37" s="8">
        <v>6.18</v>
      </c>
      <c r="C37" s="8">
        <v>2.9</v>
      </c>
      <c r="D37" s="13">
        <f t="shared" si="1"/>
        <v>3.28</v>
      </c>
    </row>
    <row r="38" spans="1:4" ht="12.75">
      <c r="A38" s="9" t="s">
        <v>57</v>
      </c>
      <c r="B38" s="8">
        <v>6.18</v>
      </c>
      <c r="C38" s="8">
        <v>16.02</v>
      </c>
      <c r="D38" s="13">
        <f t="shared" si="1"/>
        <v>-9.84</v>
      </c>
    </row>
    <row r="39" spans="1:4" ht="12.75">
      <c r="A39" s="9" t="s">
        <v>60</v>
      </c>
      <c r="B39" s="8">
        <f>B13+B26</f>
        <v>325032.24000000005</v>
      </c>
      <c r="C39" s="8">
        <f>C13+C26</f>
        <v>328379.32</v>
      </c>
      <c r="D39" s="8">
        <f>D13+D26</f>
        <v>-3347.079999999993</v>
      </c>
    </row>
    <row r="41" spans="1:4" ht="12.75">
      <c r="A41" t="s">
        <v>61</v>
      </c>
      <c r="D41" s="12">
        <f>D39</f>
        <v>-3347.079999999993</v>
      </c>
    </row>
    <row r="43" spans="1:4" ht="12.75">
      <c r="A43" s="11" t="s">
        <v>62</v>
      </c>
      <c r="D43" s="12">
        <f>D44+D45</f>
        <v>23565.072</v>
      </c>
    </row>
    <row r="44" spans="1:4" ht="12.75">
      <c r="A44" s="11" t="s">
        <v>63</v>
      </c>
      <c r="D44" s="12">
        <f>(1.33*12*D5)</f>
        <v>19962.768</v>
      </c>
    </row>
    <row r="45" spans="1:4" ht="12.75">
      <c r="A45" s="11" t="s">
        <v>64</v>
      </c>
      <c r="D45" s="12">
        <f>(0.24*12*D5)</f>
        <v>3602.3039999999996</v>
      </c>
    </row>
    <row r="46" spans="1:4" ht="12.75">
      <c r="A46" s="11" t="s">
        <v>65</v>
      </c>
      <c r="D46" s="12">
        <v>0</v>
      </c>
    </row>
    <row r="47" spans="1:4" ht="12.75">
      <c r="A47" s="11" t="s">
        <v>109</v>
      </c>
      <c r="D47" s="12">
        <f>841.1*0.22*4+(841.1*2.5)</f>
        <v>2842.918</v>
      </c>
    </row>
    <row r="48" spans="1:4" ht="12.75">
      <c r="A48" s="11" t="s">
        <v>121</v>
      </c>
      <c r="D48" s="12">
        <f>(2.66*6*D5)</f>
        <v>19962.768</v>
      </c>
    </row>
    <row r="49" spans="1:4" ht="12.75">
      <c r="A49" s="11" t="s">
        <v>66</v>
      </c>
      <c r="D49" s="12">
        <v>0</v>
      </c>
    </row>
    <row r="50" spans="1:4" ht="12.75">
      <c r="A50" s="11" t="s">
        <v>108</v>
      </c>
      <c r="D50" s="12">
        <f>(0.72*3*D5)</f>
        <v>2701.728</v>
      </c>
    </row>
    <row r="51" spans="1:4" ht="12.75">
      <c r="A51" s="11" t="s">
        <v>67</v>
      </c>
      <c r="D51" s="12">
        <f>(1.45*12*D5)</f>
        <v>21763.92</v>
      </c>
    </row>
    <row r="52" spans="1:4" ht="12.75">
      <c r="A52" s="11" t="s">
        <v>68</v>
      </c>
      <c r="D52" s="12">
        <f>(5.11*12*D5)</f>
        <v>76699.05600000001</v>
      </c>
    </row>
    <row r="53" spans="1:4" ht="12.75">
      <c r="A53" s="11" t="s">
        <v>69</v>
      </c>
      <c r="D53" s="12">
        <f>(0.29*12*D5)</f>
        <v>4352.784</v>
      </c>
    </row>
    <row r="54" spans="1:4" ht="12.75">
      <c r="A54" s="11" t="s">
        <v>110</v>
      </c>
      <c r="D54" s="12">
        <f>(3.87*12*D5)</f>
        <v>58087.151999999995</v>
      </c>
    </row>
    <row r="55" spans="1:4" ht="12.75">
      <c r="A55" s="11" t="s">
        <v>70</v>
      </c>
      <c r="D55" s="12">
        <f>2.25*12*D6</f>
        <v>729</v>
      </c>
    </row>
    <row r="56" spans="1:4" ht="12.75">
      <c r="A56" s="11" t="s">
        <v>71</v>
      </c>
      <c r="D56" s="12">
        <v>5731</v>
      </c>
    </row>
    <row r="57" spans="1:4" ht="12.75">
      <c r="A57" s="11" t="s">
        <v>72</v>
      </c>
      <c r="D57" s="12">
        <f>(0.91*12*D5)</f>
        <v>13658.735999999999</v>
      </c>
    </row>
    <row r="58" spans="1:4" ht="12.75" hidden="1">
      <c r="A58" s="14" t="s">
        <v>96</v>
      </c>
      <c r="D58" s="12">
        <v>0</v>
      </c>
    </row>
    <row r="59" spans="1:4" ht="12.75">
      <c r="A59" s="11"/>
      <c r="D59" s="12"/>
    </row>
    <row r="60" spans="1:4" ht="12.75">
      <c r="A60" s="11" t="s">
        <v>73</v>
      </c>
      <c r="D60" s="12">
        <f>D43+D46+D47+D48+D49+D50+D51+D52+D53+D54+D55+D56+D57</f>
        <v>230094.134</v>
      </c>
    </row>
    <row r="61" spans="1:4" ht="12.75">
      <c r="A61" s="11"/>
      <c r="D61" s="12"/>
    </row>
    <row r="62" spans="1:4" ht="12.75">
      <c r="A62" t="s">
        <v>100</v>
      </c>
      <c r="D62" s="12">
        <f>C39-D60</f>
        <v>98285.18600000002</v>
      </c>
    </row>
    <row r="64" spans="1:2" ht="12.75" hidden="1">
      <c r="A64">
        <v>298</v>
      </c>
      <c r="B64" t="s">
        <v>27</v>
      </c>
    </row>
    <row r="65" spans="1:2" ht="12.75" hidden="1">
      <c r="A65">
        <v>4581</v>
      </c>
      <c r="B65" t="s">
        <v>191</v>
      </c>
    </row>
    <row r="66" spans="1:2" ht="12.75" hidden="1">
      <c r="A66">
        <v>852</v>
      </c>
      <c r="B66" t="s">
        <v>15</v>
      </c>
    </row>
    <row r="67" ht="12.75" hidden="1">
      <c r="A67">
        <f>SUM(A64:A66)</f>
        <v>5731</v>
      </c>
    </row>
    <row r="68" ht="12.75" hidden="1"/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2"/>
  </sheetPr>
  <dimension ref="A1:G66"/>
  <sheetViews>
    <sheetView zoomScalePageLayoutView="0" workbookViewId="0" topLeftCell="A28">
      <selection activeCell="A64" sqref="A64:IV66"/>
    </sheetView>
  </sheetViews>
  <sheetFormatPr defaultColWidth="9.140625" defaultRowHeight="12.75"/>
  <cols>
    <col min="2" max="3" width="12.421875" style="0" bestFit="1" customWidth="1"/>
    <col min="4" max="4" width="12.28125" style="0" bestFit="1" customWidth="1"/>
  </cols>
  <sheetData>
    <row r="1" ht="12.75">
      <c r="A1" t="s">
        <v>7</v>
      </c>
    </row>
    <row r="3" spans="1:7" ht="12.75">
      <c r="A3" s="1" t="s">
        <v>34</v>
      </c>
      <c r="B3" s="2" t="s">
        <v>35</v>
      </c>
      <c r="C3" s="1" t="s">
        <v>87</v>
      </c>
      <c r="D3" s="1"/>
      <c r="E3" s="1" t="s">
        <v>36</v>
      </c>
      <c r="F3" s="3">
        <v>13</v>
      </c>
      <c r="G3" s="21">
        <v>2018</v>
      </c>
    </row>
    <row r="5" spans="1:5" ht="12.75">
      <c r="A5" t="s">
        <v>37</v>
      </c>
      <c r="D5" s="4">
        <v>1270.8</v>
      </c>
      <c r="E5" s="5" t="s">
        <v>74</v>
      </c>
    </row>
    <row r="6" spans="1:5" ht="12.75">
      <c r="A6" t="s">
        <v>38</v>
      </c>
      <c r="D6" s="4">
        <v>27</v>
      </c>
      <c r="E6" s="5"/>
    </row>
    <row r="7" spans="1:5" ht="12.75">
      <c r="A7" t="s">
        <v>39</v>
      </c>
      <c r="D7" s="4">
        <v>64</v>
      </c>
      <c r="E7" s="5" t="s">
        <v>40</v>
      </c>
    </row>
    <row r="8" spans="1:5" ht="12.75">
      <c r="A8" t="s">
        <v>41</v>
      </c>
      <c r="D8" s="4">
        <v>129.4</v>
      </c>
      <c r="E8" s="5" t="s">
        <v>74</v>
      </c>
    </row>
    <row r="9" spans="1:5" ht="12.75">
      <c r="A9" t="s">
        <v>42</v>
      </c>
      <c r="D9" s="4">
        <v>3199</v>
      </c>
      <c r="E9" s="5" t="s">
        <v>74</v>
      </c>
    </row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332966.74</v>
      </c>
      <c r="C13" s="8">
        <f>SUM(C14:C25)</f>
        <v>333698.77</v>
      </c>
      <c r="D13" s="8">
        <f>SUM(D14:D25)</f>
        <v>-732.0299999999843</v>
      </c>
    </row>
    <row r="14" spans="1:4" ht="12.75">
      <c r="A14" s="9" t="s">
        <v>59</v>
      </c>
      <c r="B14" s="8">
        <v>29241.11</v>
      </c>
      <c r="C14" s="8">
        <v>26013.71</v>
      </c>
      <c r="D14" s="8">
        <f aca="true" t="shared" si="0" ref="D14:D25">B14-C14</f>
        <v>3227.4000000000015</v>
      </c>
    </row>
    <row r="15" spans="1:4" ht="12.75">
      <c r="A15" s="9" t="s">
        <v>47</v>
      </c>
      <c r="B15" s="8">
        <v>29241.11</v>
      </c>
      <c r="C15" s="13">
        <v>28359.18</v>
      </c>
      <c r="D15" s="8">
        <f t="shared" si="0"/>
        <v>881.9300000000003</v>
      </c>
    </row>
    <row r="16" spans="1:4" ht="12.75">
      <c r="A16" s="9" t="s">
        <v>48</v>
      </c>
      <c r="B16" s="8">
        <v>29241.11</v>
      </c>
      <c r="C16" s="13">
        <v>23823.51</v>
      </c>
      <c r="D16" s="8">
        <f t="shared" si="0"/>
        <v>5417.600000000002</v>
      </c>
    </row>
    <row r="17" spans="1:4" ht="12.75">
      <c r="A17" s="9" t="s">
        <v>49</v>
      </c>
      <c r="B17" s="8">
        <v>29241.11</v>
      </c>
      <c r="C17" s="13">
        <v>24294.08</v>
      </c>
      <c r="D17" s="8">
        <f t="shared" si="0"/>
        <v>4947.029999999999</v>
      </c>
    </row>
    <row r="18" spans="1:4" ht="12.75">
      <c r="A18" s="9" t="s">
        <v>50</v>
      </c>
      <c r="B18" s="8">
        <v>29512.22</v>
      </c>
      <c r="C18" s="13">
        <v>31846.21</v>
      </c>
      <c r="D18" s="8">
        <f t="shared" si="0"/>
        <v>-2333.989999999998</v>
      </c>
    </row>
    <row r="19" spans="1:4" ht="12.75">
      <c r="A19" s="9" t="s">
        <v>51</v>
      </c>
      <c r="B19" s="8">
        <v>29499.84</v>
      </c>
      <c r="C19" s="13">
        <v>29476.36</v>
      </c>
      <c r="D19" s="8">
        <f t="shared" si="0"/>
        <v>23.479999999999563</v>
      </c>
    </row>
    <row r="20" spans="1:4" ht="12.75">
      <c r="A20" s="9" t="s">
        <v>52</v>
      </c>
      <c r="B20" s="8">
        <v>26165.04</v>
      </c>
      <c r="C20" s="13">
        <v>24802.51</v>
      </c>
      <c r="D20" s="8">
        <f t="shared" si="0"/>
        <v>1362.5300000000025</v>
      </c>
    </row>
    <row r="21" spans="1:4" ht="12.75">
      <c r="A21" s="9" t="s">
        <v>53</v>
      </c>
      <c r="B21" s="8">
        <v>26165.04</v>
      </c>
      <c r="C21" s="13">
        <v>29058.91</v>
      </c>
      <c r="D21" s="8">
        <f t="shared" si="0"/>
        <v>-2893.869999999999</v>
      </c>
    </row>
    <row r="22" spans="1:4" ht="12.75">
      <c r="A22" s="9" t="s">
        <v>54</v>
      </c>
      <c r="B22" s="8">
        <v>26165.04</v>
      </c>
      <c r="C22" s="13">
        <v>28448.39</v>
      </c>
      <c r="D22" s="8">
        <f t="shared" si="0"/>
        <v>-2283.3499999999985</v>
      </c>
    </row>
    <row r="23" spans="1:4" ht="12.75">
      <c r="A23" s="9" t="s">
        <v>55</v>
      </c>
      <c r="B23" s="8">
        <v>26165.04</v>
      </c>
      <c r="C23" s="13">
        <v>34798.99</v>
      </c>
      <c r="D23" s="13">
        <f t="shared" si="0"/>
        <v>-8633.949999999997</v>
      </c>
    </row>
    <row r="24" spans="1:4" ht="12.75">
      <c r="A24" s="9" t="s">
        <v>56</v>
      </c>
      <c r="B24" s="8">
        <v>26165.04</v>
      </c>
      <c r="C24" s="13">
        <v>25132.78</v>
      </c>
      <c r="D24" s="13">
        <f t="shared" si="0"/>
        <v>1032.260000000002</v>
      </c>
    </row>
    <row r="25" spans="1:4" ht="12.75">
      <c r="A25" s="9" t="s">
        <v>57</v>
      </c>
      <c r="B25" s="8">
        <v>26165.04</v>
      </c>
      <c r="C25" s="13">
        <v>27644.14</v>
      </c>
      <c r="D25" s="13">
        <f t="shared" si="0"/>
        <v>-1479.0999999999985</v>
      </c>
    </row>
    <row r="26" spans="1:4" ht="12.75">
      <c r="A26" s="7" t="s">
        <v>58</v>
      </c>
      <c r="B26" s="8">
        <f>SUM(B27:B38)</f>
        <v>52.56000000000001</v>
      </c>
      <c r="C26" s="8">
        <f>SUM(C27:C38)</f>
        <v>52.56000000000001</v>
      </c>
      <c r="D26" s="8">
        <f>SUM(D27:D38)</f>
        <v>0</v>
      </c>
    </row>
    <row r="27" spans="1:4" ht="12.75">
      <c r="A27" s="9" t="s">
        <v>59</v>
      </c>
      <c r="B27" s="8">
        <v>4.38</v>
      </c>
      <c r="C27" s="8">
        <v>4.38</v>
      </c>
      <c r="D27" s="8">
        <f aca="true" t="shared" si="1" ref="D27:D38">B27-C27</f>
        <v>0</v>
      </c>
    </row>
    <row r="28" spans="1:4" ht="12.75">
      <c r="A28" s="9" t="s">
        <v>47</v>
      </c>
      <c r="B28" s="8">
        <v>4.38</v>
      </c>
      <c r="C28" s="8">
        <v>4.38</v>
      </c>
      <c r="D28" s="8">
        <f t="shared" si="1"/>
        <v>0</v>
      </c>
    </row>
    <row r="29" spans="1:4" ht="12.75">
      <c r="A29" s="9" t="s">
        <v>48</v>
      </c>
      <c r="B29" s="8">
        <v>4.38</v>
      </c>
      <c r="C29" s="8">
        <v>4.38</v>
      </c>
      <c r="D29" s="8">
        <f t="shared" si="1"/>
        <v>0</v>
      </c>
    </row>
    <row r="30" spans="1:4" ht="12.75">
      <c r="A30" s="9" t="s">
        <v>49</v>
      </c>
      <c r="B30" s="8">
        <v>4.38</v>
      </c>
      <c r="C30" s="8">
        <v>4.38</v>
      </c>
      <c r="D30" s="8">
        <f t="shared" si="1"/>
        <v>0</v>
      </c>
    </row>
    <row r="31" spans="1:4" ht="12.75">
      <c r="A31" s="9" t="s">
        <v>50</v>
      </c>
      <c r="B31" s="8">
        <v>4.38</v>
      </c>
      <c r="C31" s="8">
        <v>4.38</v>
      </c>
      <c r="D31" s="8">
        <f t="shared" si="1"/>
        <v>0</v>
      </c>
    </row>
    <row r="32" spans="1:4" ht="12.75">
      <c r="A32" s="9" t="s">
        <v>51</v>
      </c>
      <c r="B32" s="8">
        <v>4.38</v>
      </c>
      <c r="C32" s="8">
        <v>4.38</v>
      </c>
      <c r="D32" s="8">
        <f t="shared" si="1"/>
        <v>0</v>
      </c>
    </row>
    <row r="33" spans="1:4" ht="12.75">
      <c r="A33" s="9" t="s">
        <v>52</v>
      </c>
      <c r="B33" s="8">
        <v>4.38</v>
      </c>
      <c r="C33" s="8">
        <v>4.38</v>
      </c>
      <c r="D33" s="8">
        <f t="shared" si="1"/>
        <v>0</v>
      </c>
    </row>
    <row r="34" spans="1:4" ht="12.75">
      <c r="A34" s="9" t="s">
        <v>53</v>
      </c>
      <c r="B34" s="8">
        <v>4.38</v>
      </c>
      <c r="C34" s="8">
        <v>4.38</v>
      </c>
      <c r="D34" s="8">
        <f t="shared" si="1"/>
        <v>0</v>
      </c>
    </row>
    <row r="35" spans="1:4" ht="12.75">
      <c r="A35" s="9" t="s">
        <v>54</v>
      </c>
      <c r="B35" s="8">
        <v>4.38</v>
      </c>
      <c r="C35" s="8">
        <v>4.38</v>
      </c>
      <c r="D35" s="8">
        <f t="shared" si="1"/>
        <v>0</v>
      </c>
    </row>
    <row r="36" spans="1:4" ht="12.75">
      <c r="A36" s="9" t="s">
        <v>55</v>
      </c>
      <c r="B36" s="8">
        <v>4.38</v>
      </c>
      <c r="C36" s="8">
        <v>4.38</v>
      </c>
      <c r="D36" s="13">
        <f t="shared" si="1"/>
        <v>0</v>
      </c>
    </row>
    <row r="37" spans="1:4" ht="12.75">
      <c r="A37" s="9" t="s">
        <v>56</v>
      </c>
      <c r="B37" s="8">
        <v>4.38</v>
      </c>
      <c r="C37" s="8">
        <v>4.38</v>
      </c>
      <c r="D37" s="13">
        <f t="shared" si="1"/>
        <v>0</v>
      </c>
    </row>
    <row r="38" spans="1:4" ht="12.75">
      <c r="A38" s="9" t="s">
        <v>57</v>
      </c>
      <c r="B38" s="8">
        <v>4.38</v>
      </c>
      <c r="C38" s="8">
        <v>4.38</v>
      </c>
      <c r="D38" s="13">
        <f t="shared" si="1"/>
        <v>0</v>
      </c>
    </row>
    <row r="39" spans="1:4" ht="12.75">
      <c r="A39" s="9" t="s">
        <v>60</v>
      </c>
      <c r="B39" s="8">
        <f>B13+B26</f>
        <v>333019.3</v>
      </c>
      <c r="C39" s="8">
        <f>C13+C26</f>
        <v>333751.33</v>
      </c>
      <c r="D39" s="8">
        <f>D13+D26</f>
        <v>-732.0299999999843</v>
      </c>
    </row>
    <row r="41" spans="1:4" ht="12.75">
      <c r="A41" t="s">
        <v>61</v>
      </c>
      <c r="D41" s="12">
        <f>D39</f>
        <v>-732.0299999999843</v>
      </c>
    </row>
    <row r="43" spans="1:4" ht="12.75">
      <c r="A43" s="11" t="s">
        <v>62</v>
      </c>
      <c r="D43" s="12">
        <f>D44+D45</f>
        <v>23941.872</v>
      </c>
    </row>
    <row r="44" spans="1:4" ht="12.75">
      <c r="A44" s="11" t="s">
        <v>63</v>
      </c>
      <c r="D44" s="12">
        <f>(1.33*12*D5)</f>
        <v>20281.968</v>
      </c>
    </row>
    <row r="45" spans="1:4" ht="12.75">
      <c r="A45" s="11" t="s">
        <v>64</v>
      </c>
      <c r="D45" s="12">
        <f>(0.24*12*D5)</f>
        <v>3659.9039999999995</v>
      </c>
    </row>
    <row r="46" spans="1:4" ht="12.75">
      <c r="A46" s="11" t="s">
        <v>65</v>
      </c>
      <c r="D46" s="12">
        <v>0</v>
      </c>
    </row>
    <row r="47" spans="1:4" ht="12.75">
      <c r="A47" s="11" t="s">
        <v>109</v>
      </c>
      <c r="D47" s="12">
        <f>870.4*0.22*4+(870.4*2.5)</f>
        <v>2941.952</v>
      </c>
    </row>
    <row r="48" spans="1:4" ht="12.75">
      <c r="A48" s="11" t="s">
        <v>121</v>
      </c>
      <c r="D48" s="12">
        <f>(2.66*6*D5)</f>
        <v>20281.968</v>
      </c>
    </row>
    <row r="49" spans="1:4" ht="12.75" hidden="1">
      <c r="A49" s="11" t="s">
        <v>66</v>
      </c>
      <c r="D49" s="12">
        <v>0</v>
      </c>
    </row>
    <row r="50" spans="1:4" ht="12.75">
      <c r="A50" s="11" t="s">
        <v>108</v>
      </c>
      <c r="D50" s="12">
        <f>(0.72*3*D5)</f>
        <v>2744.928</v>
      </c>
    </row>
    <row r="51" spans="1:4" ht="12.75">
      <c r="A51" s="11" t="s">
        <v>67</v>
      </c>
      <c r="D51" s="12">
        <f>(1.45*12*D5)</f>
        <v>22111.92</v>
      </c>
    </row>
    <row r="52" spans="1:4" ht="12.75">
      <c r="A52" s="11" t="s">
        <v>68</v>
      </c>
      <c r="D52" s="12">
        <f>(5.11*12*D5)</f>
        <v>77925.456</v>
      </c>
    </row>
    <row r="53" spans="1:4" ht="12.75">
      <c r="A53" s="11" t="s">
        <v>69</v>
      </c>
      <c r="D53" s="12">
        <f>(0.29*12*D5)</f>
        <v>4422.383999999999</v>
      </c>
    </row>
    <row r="54" spans="1:4" ht="12.75">
      <c r="A54" s="11" t="s">
        <v>110</v>
      </c>
      <c r="D54" s="12">
        <f>(3.87*12*D5)</f>
        <v>59015.952</v>
      </c>
    </row>
    <row r="55" spans="1:4" ht="12.75">
      <c r="A55" s="11" t="s">
        <v>70</v>
      </c>
      <c r="D55" s="12">
        <f>2.25*12*D6</f>
        <v>729</v>
      </c>
    </row>
    <row r="56" spans="1:4" ht="12.75">
      <c r="A56" s="11" t="s">
        <v>71</v>
      </c>
      <c r="D56" s="12">
        <v>111311</v>
      </c>
    </row>
    <row r="57" spans="1:4" ht="12.75">
      <c r="A57" s="11" t="s">
        <v>72</v>
      </c>
      <c r="D57" s="12">
        <f>(0.91*12*D5)</f>
        <v>13877.135999999999</v>
      </c>
    </row>
    <row r="58" spans="1:4" ht="12.75" hidden="1">
      <c r="A58" s="14" t="s">
        <v>96</v>
      </c>
      <c r="D58" s="12">
        <v>0</v>
      </c>
    </row>
    <row r="59" spans="1:4" ht="12.75">
      <c r="A59" s="11"/>
      <c r="D59" s="12"/>
    </row>
    <row r="60" spans="1:4" ht="12.75">
      <c r="A60" s="11" t="s">
        <v>73</v>
      </c>
      <c r="D60" s="12">
        <f>D43+D46+D47+D48+D49+D50+D51+D52+D53+D54+D55+D56+D57</f>
        <v>339303.568</v>
      </c>
    </row>
    <row r="61" spans="1:4" ht="12.75">
      <c r="A61" s="11"/>
      <c r="D61" s="12"/>
    </row>
    <row r="62" spans="1:4" ht="12.75">
      <c r="A62" t="s">
        <v>100</v>
      </c>
      <c r="D62" s="12">
        <f>C39-D60</f>
        <v>-5552.238000000012</v>
      </c>
    </row>
    <row r="64" spans="1:2" ht="12.75" hidden="1">
      <c r="A64">
        <v>110065</v>
      </c>
      <c r="B64" t="s">
        <v>220</v>
      </c>
    </row>
    <row r="65" spans="1:2" ht="12.75" hidden="1">
      <c r="A65">
        <v>1246</v>
      </c>
      <c r="B65" t="s">
        <v>27</v>
      </c>
    </row>
    <row r="66" ht="12.75" hidden="1">
      <c r="A66">
        <f>SUM(A64:A65)</f>
        <v>111311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2"/>
  </sheetPr>
  <dimension ref="A1:G79"/>
  <sheetViews>
    <sheetView zoomScalePageLayoutView="0" workbookViewId="0" topLeftCell="A34">
      <selection activeCell="A64" sqref="A64:IV79"/>
    </sheetView>
  </sheetViews>
  <sheetFormatPr defaultColWidth="9.140625" defaultRowHeight="12.75"/>
  <cols>
    <col min="2" max="3" width="12.421875" style="0" bestFit="1" customWidth="1"/>
    <col min="4" max="4" width="12.00390625" style="0" bestFit="1" customWidth="1"/>
  </cols>
  <sheetData>
    <row r="1" spans="1:6" ht="26.25" customHeight="1">
      <c r="A1" s="25" t="s">
        <v>12</v>
      </c>
      <c r="B1" s="25"/>
      <c r="C1" s="25"/>
      <c r="D1" s="25"/>
      <c r="E1" s="25"/>
      <c r="F1" s="25"/>
    </row>
    <row r="3" spans="1:7" ht="12.75">
      <c r="A3" s="1" t="s">
        <v>34</v>
      </c>
      <c r="B3" s="2" t="s">
        <v>35</v>
      </c>
      <c r="C3" s="1" t="s">
        <v>87</v>
      </c>
      <c r="D3" s="1"/>
      <c r="E3" s="1" t="s">
        <v>36</v>
      </c>
      <c r="F3" s="3">
        <v>17</v>
      </c>
      <c r="G3" s="21">
        <v>2018</v>
      </c>
    </row>
    <row r="5" spans="1:5" ht="12.75">
      <c r="A5" t="s">
        <v>37</v>
      </c>
      <c r="D5" s="4">
        <v>3163.1</v>
      </c>
      <c r="E5" s="5" t="s">
        <v>74</v>
      </c>
    </row>
    <row r="6" spans="1:5" ht="12.75">
      <c r="A6" t="s">
        <v>38</v>
      </c>
      <c r="D6" s="4">
        <v>62</v>
      </c>
      <c r="E6" s="5"/>
    </row>
    <row r="7" spans="1:5" ht="12.75">
      <c r="A7" t="s">
        <v>39</v>
      </c>
      <c r="D7" s="4">
        <v>125</v>
      </c>
      <c r="E7" s="5" t="s">
        <v>40</v>
      </c>
    </row>
    <row r="8" spans="1:5" ht="12.75">
      <c r="A8" t="s">
        <v>41</v>
      </c>
      <c r="D8" s="4">
        <v>373.7</v>
      </c>
      <c r="E8" s="5" t="s">
        <v>74</v>
      </c>
    </row>
    <row r="9" spans="1:5" ht="12.75">
      <c r="A9" t="s">
        <v>42</v>
      </c>
      <c r="D9" s="4">
        <v>4248</v>
      </c>
      <c r="E9" s="5" t="s">
        <v>74</v>
      </c>
    </row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820256.8800000001</v>
      </c>
      <c r="C13" s="8">
        <f>SUM(C14:C25)</f>
        <v>769044.07</v>
      </c>
      <c r="D13" s="8">
        <f>SUM(D14:D25)</f>
        <v>51212.80999999997</v>
      </c>
    </row>
    <row r="14" spans="1:4" ht="12.75" customHeight="1">
      <c r="A14" s="9" t="s">
        <v>59</v>
      </c>
      <c r="B14" s="8">
        <v>72530.18</v>
      </c>
      <c r="C14" s="8">
        <v>69506.05</v>
      </c>
      <c r="D14" s="8">
        <f aca="true" t="shared" si="0" ref="D14:D25">B14-C14</f>
        <v>3024.12999999999</v>
      </c>
    </row>
    <row r="15" spans="1:4" ht="12.75" customHeight="1">
      <c r="A15" s="9" t="s">
        <v>47</v>
      </c>
      <c r="B15" s="8">
        <v>72530.18</v>
      </c>
      <c r="C15" s="13">
        <v>67392.82</v>
      </c>
      <c r="D15" s="8">
        <f t="shared" si="0"/>
        <v>5137.359999999986</v>
      </c>
    </row>
    <row r="16" spans="1:4" ht="12.75" customHeight="1">
      <c r="A16" s="9" t="s">
        <v>48</v>
      </c>
      <c r="B16" s="8">
        <v>72530.18</v>
      </c>
      <c r="C16" s="13">
        <v>76832.26</v>
      </c>
      <c r="D16" s="8">
        <f t="shared" si="0"/>
        <v>-4302.080000000002</v>
      </c>
    </row>
    <row r="17" spans="1:4" ht="12.75" customHeight="1">
      <c r="A17" s="9" t="s">
        <v>49</v>
      </c>
      <c r="B17" s="8">
        <v>72530.18</v>
      </c>
      <c r="C17" s="13">
        <v>56429.97</v>
      </c>
      <c r="D17" s="8">
        <f t="shared" si="0"/>
        <v>16100.209999999992</v>
      </c>
    </row>
    <row r="18" spans="1:4" ht="12.75" customHeight="1">
      <c r="A18" s="9" t="s">
        <v>50</v>
      </c>
      <c r="B18" s="8">
        <v>72530.18</v>
      </c>
      <c r="C18" s="13">
        <v>71697.8</v>
      </c>
      <c r="D18" s="8">
        <f t="shared" si="0"/>
        <v>832.3799999999901</v>
      </c>
    </row>
    <row r="19" spans="1:4" ht="12.75" customHeight="1">
      <c r="A19" s="9" t="s">
        <v>51</v>
      </c>
      <c r="B19" s="8">
        <v>72530.18</v>
      </c>
      <c r="C19" s="13">
        <v>65558.52</v>
      </c>
      <c r="D19" s="8">
        <f t="shared" si="0"/>
        <v>6971.659999999989</v>
      </c>
    </row>
    <row r="20" spans="1:4" ht="12.75" customHeight="1">
      <c r="A20" s="9" t="s">
        <v>52</v>
      </c>
      <c r="B20" s="8">
        <v>64179.3</v>
      </c>
      <c r="C20" s="13">
        <v>69526.87</v>
      </c>
      <c r="D20" s="8">
        <f t="shared" si="0"/>
        <v>-5347.569999999992</v>
      </c>
    </row>
    <row r="21" spans="1:4" ht="12.75" customHeight="1">
      <c r="A21" s="9" t="s">
        <v>53</v>
      </c>
      <c r="B21" s="8">
        <v>64179.3</v>
      </c>
      <c r="C21" s="13">
        <v>58110.16</v>
      </c>
      <c r="D21" s="8">
        <f t="shared" si="0"/>
        <v>6069.139999999999</v>
      </c>
    </row>
    <row r="22" spans="1:4" ht="12.75" customHeight="1">
      <c r="A22" s="9" t="s">
        <v>54</v>
      </c>
      <c r="B22" s="8">
        <v>64179.3</v>
      </c>
      <c r="C22" s="13">
        <v>49922.34</v>
      </c>
      <c r="D22" s="8">
        <f t="shared" si="0"/>
        <v>14256.960000000006</v>
      </c>
    </row>
    <row r="23" spans="1:4" ht="12.75" customHeight="1">
      <c r="A23" s="9" t="s">
        <v>55</v>
      </c>
      <c r="B23" s="8">
        <v>64179.3</v>
      </c>
      <c r="C23" s="13">
        <v>70810.51</v>
      </c>
      <c r="D23" s="13">
        <f t="shared" si="0"/>
        <v>-6631.209999999992</v>
      </c>
    </row>
    <row r="24" spans="1:4" ht="12.75" customHeight="1">
      <c r="A24" s="9" t="s">
        <v>56</v>
      </c>
      <c r="B24" s="8">
        <v>64179.3</v>
      </c>
      <c r="C24" s="13">
        <v>55219.91</v>
      </c>
      <c r="D24" s="13">
        <f t="shared" si="0"/>
        <v>8959.39</v>
      </c>
    </row>
    <row r="25" spans="1:4" ht="12.75" customHeight="1">
      <c r="A25" s="9" t="s">
        <v>57</v>
      </c>
      <c r="B25" s="8">
        <v>64179.3</v>
      </c>
      <c r="C25" s="13">
        <v>58036.86</v>
      </c>
      <c r="D25" s="13">
        <f t="shared" si="0"/>
        <v>6142.440000000002</v>
      </c>
    </row>
    <row r="26" spans="1:4" ht="12.75" customHeight="1">
      <c r="A26" s="7" t="s">
        <v>58</v>
      </c>
      <c r="B26" s="8">
        <f>SUM(B27:B38)</f>
        <v>0</v>
      </c>
      <c r="C26" s="8">
        <f>SUM(C27:C38)</f>
        <v>0</v>
      </c>
      <c r="D26" s="8">
        <f>SUM(D27:D38)</f>
        <v>0</v>
      </c>
    </row>
    <row r="27" spans="1:4" ht="12.75" customHeight="1">
      <c r="A27" s="9" t="s">
        <v>59</v>
      </c>
      <c r="B27" s="8"/>
      <c r="C27" s="8"/>
      <c r="D27" s="8">
        <f aca="true" t="shared" si="1" ref="D27:D38">B27-C27</f>
        <v>0</v>
      </c>
    </row>
    <row r="28" spans="1:4" ht="12.75" customHeight="1">
      <c r="A28" s="9" t="s">
        <v>47</v>
      </c>
      <c r="B28" s="13"/>
      <c r="C28" s="13"/>
      <c r="D28" s="8">
        <f t="shared" si="1"/>
        <v>0</v>
      </c>
    </row>
    <row r="29" spans="1:4" ht="12.75" customHeight="1">
      <c r="A29" s="9" t="s">
        <v>48</v>
      </c>
      <c r="B29" s="13"/>
      <c r="C29" s="13"/>
      <c r="D29" s="8">
        <f t="shared" si="1"/>
        <v>0</v>
      </c>
    </row>
    <row r="30" spans="1:4" ht="12.75" customHeight="1">
      <c r="A30" s="9" t="s">
        <v>49</v>
      </c>
      <c r="B30" s="13"/>
      <c r="C30" s="13"/>
      <c r="D30" s="8">
        <f t="shared" si="1"/>
        <v>0</v>
      </c>
    </row>
    <row r="31" spans="1:4" ht="12.75" customHeight="1">
      <c r="A31" s="9" t="s">
        <v>50</v>
      </c>
      <c r="B31" s="13"/>
      <c r="C31" s="13"/>
      <c r="D31" s="8">
        <f t="shared" si="1"/>
        <v>0</v>
      </c>
    </row>
    <row r="32" spans="1:4" ht="12.75" customHeight="1">
      <c r="A32" s="9" t="s">
        <v>51</v>
      </c>
      <c r="B32" s="13"/>
      <c r="C32" s="13"/>
      <c r="D32" s="8">
        <f t="shared" si="1"/>
        <v>0</v>
      </c>
    </row>
    <row r="33" spans="1:4" ht="12.75" customHeight="1">
      <c r="A33" s="9" t="s">
        <v>52</v>
      </c>
      <c r="B33" s="13"/>
      <c r="C33" s="13"/>
      <c r="D33" s="8">
        <f t="shared" si="1"/>
        <v>0</v>
      </c>
    </row>
    <row r="34" spans="1:4" ht="12.75" customHeight="1">
      <c r="A34" s="9" t="s">
        <v>53</v>
      </c>
      <c r="B34" s="13"/>
      <c r="C34" s="13"/>
      <c r="D34" s="8">
        <f t="shared" si="1"/>
        <v>0</v>
      </c>
    </row>
    <row r="35" spans="1:4" ht="12.75" customHeight="1">
      <c r="A35" s="9" t="s">
        <v>54</v>
      </c>
      <c r="B35" s="13"/>
      <c r="C35" s="13"/>
      <c r="D35" s="8">
        <f t="shared" si="1"/>
        <v>0</v>
      </c>
    </row>
    <row r="36" spans="1:4" ht="12.75" customHeight="1">
      <c r="A36" s="9" t="s">
        <v>55</v>
      </c>
      <c r="B36" s="13"/>
      <c r="C36" s="13"/>
      <c r="D36" s="13">
        <f t="shared" si="1"/>
        <v>0</v>
      </c>
    </row>
    <row r="37" spans="1:4" ht="12.75" customHeight="1">
      <c r="A37" s="9" t="s">
        <v>56</v>
      </c>
      <c r="B37" s="13"/>
      <c r="C37" s="13"/>
      <c r="D37" s="13">
        <f t="shared" si="1"/>
        <v>0</v>
      </c>
    </row>
    <row r="38" spans="1:4" ht="12.75" customHeight="1">
      <c r="A38" s="9" t="s">
        <v>57</v>
      </c>
      <c r="B38" s="10"/>
      <c r="C38" s="10"/>
      <c r="D38" s="13">
        <f t="shared" si="1"/>
        <v>0</v>
      </c>
    </row>
    <row r="39" spans="1:4" ht="12.75">
      <c r="A39" s="9" t="s">
        <v>60</v>
      </c>
      <c r="B39" s="8">
        <f>B13+B26</f>
        <v>820256.8800000001</v>
      </c>
      <c r="C39" s="8">
        <f>C13+C26</f>
        <v>769044.07</v>
      </c>
      <c r="D39" s="8">
        <f>D13+D26</f>
        <v>51212.80999999997</v>
      </c>
    </row>
    <row r="41" spans="1:4" ht="12.75">
      <c r="A41" t="s">
        <v>61</v>
      </c>
      <c r="D41" s="12">
        <f>D39</f>
        <v>51212.80999999997</v>
      </c>
    </row>
    <row r="43" spans="1:4" ht="12.75">
      <c r="A43" s="11" t="s">
        <v>62</v>
      </c>
      <c r="D43" s="12">
        <f>D44+D45</f>
        <v>59592.804000000004</v>
      </c>
    </row>
    <row r="44" spans="1:4" ht="12.75">
      <c r="A44" s="11" t="s">
        <v>63</v>
      </c>
      <c r="D44" s="12">
        <f>(1.33*12*D5)</f>
        <v>50483.076</v>
      </c>
    </row>
    <row r="45" spans="1:4" ht="12.75">
      <c r="A45" s="11" t="s">
        <v>64</v>
      </c>
      <c r="D45" s="12">
        <f>(0.24*12*D5)</f>
        <v>9109.728</v>
      </c>
    </row>
    <row r="46" spans="1:4" ht="12.75">
      <c r="A46" s="11" t="s">
        <v>65</v>
      </c>
      <c r="D46" s="12">
        <v>0</v>
      </c>
    </row>
    <row r="47" spans="1:4" ht="12.75">
      <c r="A47" s="11" t="s">
        <v>109</v>
      </c>
      <c r="D47" s="12">
        <f>1314.4*0.22*4+(1314.4*2.5)</f>
        <v>4442.6720000000005</v>
      </c>
    </row>
    <row r="48" spans="1:4" ht="12.75">
      <c r="A48" s="11" t="s">
        <v>121</v>
      </c>
      <c r="D48" s="12">
        <f>(2.66*6*D5)</f>
        <v>50483.076</v>
      </c>
    </row>
    <row r="49" spans="1:4" ht="12.75">
      <c r="A49" s="11" t="s">
        <v>66</v>
      </c>
      <c r="D49" s="12">
        <v>0</v>
      </c>
    </row>
    <row r="50" spans="1:4" ht="12.75">
      <c r="A50" s="11" t="s">
        <v>108</v>
      </c>
      <c r="D50" s="12">
        <f>(0.72*3*D5)</f>
        <v>6832.296</v>
      </c>
    </row>
    <row r="51" spans="1:4" ht="12.75">
      <c r="A51" s="11" t="s">
        <v>67</v>
      </c>
      <c r="D51" s="12">
        <f>(1.45*12*D5)</f>
        <v>55037.939999999995</v>
      </c>
    </row>
    <row r="52" spans="1:4" ht="12.75">
      <c r="A52" s="11" t="s">
        <v>68</v>
      </c>
      <c r="D52" s="12">
        <f>(5.11*12*D5)</f>
        <v>193961.29200000002</v>
      </c>
    </row>
    <row r="53" spans="1:4" ht="12.75">
      <c r="A53" s="11" t="s">
        <v>69</v>
      </c>
      <c r="D53" s="12">
        <f>(0.29*12*D5)</f>
        <v>11007.587999999998</v>
      </c>
    </row>
    <row r="54" spans="1:4" ht="12.75">
      <c r="A54" s="11" t="s">
        <v>110</v>
      </c>
      <c r="D54" s="12">
        <f>(3.87*12*D5)</f>
        <v>146894.364</v>
      </c>
    </row>
    <row r="55" spans="1:4" ht="12.75">
      <c r="A55" s="11" t="s">
        <v>70</v>
      </c>
      <c r="D55" s="12">
        <f>2.25*12*D6</f>
        <v>1674</v>
      </c>
    </row>
    <row r="56" spans="1:4" ht="12.75">
      <c r="A56" s="11" t="s">
        <v>71</v>
      </c>
      <c r="D56" s="12">
        <v>340719</v>
      </c>
    </row>
    <row r="57" spans="1:4" ht="12.75">
      <c r="A57" s="11" t="s">
        <v>72</v>
      </c>
      <c r="D57" s="12">
        <f>(0.91*12*D5)</f>
        <v>34541.051999999996</v>
      </c>
    </row>
    <row r="58" spans="1:4" ht="12.75" hidden="1">
      <c r="A58" s="14" t="s">
        <v>96</v>
      </c>
      <c r="D58" s="12">
        <v>0</v>
      </c>
    </row>
    <row r="59" spans="1:4" ht="12.75">
      <c r="A59" s="11"/>
      <c r="D59" s="12"/>
    </row>
    <row r="60" spans="1:4" ht="12.75">
      <c r="A60" s="11" t="s">
        <v>73</v>
      </c>
      <c r="D60" s="12">
        <f>D43+D46+D47+D48+D49+D50+D51+D52+D53+D54+D55+D56+D57+D58</f>
        <v>905186.084</v>
      </c>
    </row>
    <row r="61" spans="1:4" ht="12.75">
      <c r="A61" s="11"/>
      <c r="D61" s="12"/>
    </row>
    <row r="62" spans="1:4" ht="12.75">
      <c r="A62" t="s">
        <v>100</v>
      </c>
      <c r="D62" s="12">
        <f>C39-D60</f>
        <v>-136142.01400000008</v>
      </c>
    </row>
    <row r="64" spans="1:2" ht="12.75" hidden="1">
      <c r="A64">
        <v>4843</v>
      </c>
      <c r="B64" t="s">
        <v>127</v>
      </c>
    </row>
    <row r="65" spans="1:2" ht="12.75" hidden="1">
      <c r="A65">
        <v>722</v>
      </c>
      <c r="B65" t="s">
        <v>168</v>
      </c>
    </row>
    <row r="66" spans="1:2" ht="12.75" hidden="1">
      <c r="A66">
        <v>1476</v>
      </c>
      <c r="B66" t="s">
        <v>119</v>
      </c>
    </row>
    <row r="67" spans="1:2" ht="12.75" hidden="1">
      <c r="A67">
        <v>21385</v>
      </c>
      <c r="B67" t="s">
        <v>126</v>
      </c>
    </row>
    <row r="68" spans="1:2" ht="12.75" hidden="1">
      <c r="A68">
        <v>1459</v>
      </c>
      <c r="B68" t="s">
        <v>127</v>
      </c>
    </row>
    <row r="69" spans="1:2" ht="12.75" hidden="1">
      <c r="A69">
        <v>9984</v>
      </c>
      <c r="B69" t="s">
        <v>32</v>
      </c>
    </row>
    <row r="70" spans="1:2" ht="12.75" hidden="1">
      <c r="A70">
        <v>140387</v>
      </c>
      <c r="B70" t="s">
        <v>32</v>
      </c>
    </row>
    <row r="71" spans="1:2" ht="12.75" hidden="1">
      <c r="A71">
        <v>121706</v>
      </c>
      <c r="B71" t="s">
        <v>220</v>
      </c>
    </row>
    <row r="72" spans="1:2" ht="12.75" hidden="1">
      <c r="A72">
        <v>4100</v>
      </c>
      <c r="B72" t="s">
        <v>119</v>
      </c>
    </row>
    <row r="73" spans="1:2" ht="12.75" hidden="1">
      <c r="A73">
        <v>1494</v>
      </c>
      <c r="B73" t="s">
        <v>119</v>
      </c>
    </row>
    <row r="74" spans="1:2" ht="12.75" hidden="1">
      <c r="A74">
        <v>24504</v>
      </c>
      <c r="B74" t="s">
        <v>32</v>
      </c>
    </row>
    <row r="75" spans="1:2" ht="12.75" hidden="1">
      <c r="A75">
        <v>1862</v>
      </c>
      <c r="B75" t="s">
        <v>119</v>
      </c>
    </row>
    <row r="76" spans="1:2" ht="12.75" hidden="1">
      <c r="A76">
        <v>579</v>
      </c>
      <c r="B76" t="s">
        <v>175</v>
      </c>
    </row>
    <row r="77" spans="1:2" ht="12.75" hidden="1">
      <c r="A77">
        <v>5178</v>
      </c>
      <c r="B77" t="s">
        <v>124</v>
      </c>
    </row>
    <row r="78" spans="1:2" ht="12.75" hidden="1">
      <c r="A78">
        <v>1040</v>
      </c>
      <c r="B78" t="s">
        <v>119</v>
      </c>
    </row>
    <row r="79" ht="12.75" hidden="1">
      <c r="A79">
        <f>SUM(A64:A78)</f>
        <v>340719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2"/>
  </sheetPr>
  <dimension ref="A1:G70"/>
  <sheetViews>
    <sheetView zoomScalePageLayoutView="0" workbookViewId="0" topLeftCell="A31">
      <selection activeCell="A64" sqref="A64:IV72"/>
    </sheetView>
  </sheetViews>
  <sheetFormatPr defaultColWidth="9.140625" defaultRowHeight="12.75"/>
  <cols>
    <col min="2" max="3" width="12.421875" style="0" bestFit="1" customWidth="1"/>
    <col min="4" max="4" width="12.28125" style="0" bestFit="1" customWidth="1"/>
  </cols>
  <sheetData>
    <row r="1" spans="1:6" ht="33" customHeight="1">
      <c r="A1" s="25" t="s">
        <v>12</v>
      </c>
      <c r="B1" s="25"/>
      <c r="C1" s="25"/>
      <c r="D1" s="25"/>
      <c r="E1" s="25"/>
      <c r="F1" s="25"/>
    </row>
    <row r="3" spans="1:7" ht="12.75" customHeight="1">
      <c r="A3" s="1" t="s">
        <v>34</v>
      </c>
      <c r="B3" s="2" t="s">
        <v>35</v>
      </c>
      <c r="C3" s="1" t="s">
        <v>87</v>
      </c>
      <c r="D3" s="1"/>
      <c r="E3" s="1" t="s">
        <v>36</v>
      </c>
      <c r="F3" s="3">
        <v>3</v>
      </c>
      <c r="G3" s="21">
        <v>2018</v>
      </c>
    </row>
    <row r="5" spans="1:5" ht="12.75">
      <c r="A5" t="s">
        <v>37</v>
      </c>
      <c r="D5" s="4">
        <v>2128.51</v>
      </c>
      <c r="E5" s="5" t="s">
        <v>74</v>
      </c>
    </row>
    <row r="6" spans="1:5" ht="12.75">
      <c r="A6" t="s">
        <v>38</v>
      </c>
      <c r="D6" s="4">
        <v>45</v>
      </c>
      <c r="E6" s="5"/>
    </row>
    <row r="7" spans="1:5" ht="12.75">
      <c r="A7" t="s">
        <v>39</v>
      </c>
      <c r="D7" s="4">
        <v>88</v>
      </c>
      <c r="E7" s="5" t="s">
        <v>40</v>
      </c>
    </row>
    <row r="8" spans="1:5" ht="12.75">
      <c r="A8" t="s">
        <v>41</v>
      </c>
      <c r="D8" s="4">
        <v>294.7</v>
      </c>
      <c r="E8" s="5" t="s">
        <v>74</v>
      </c>
    </row>
    <row r="9" spans="1:5" ht="12.75">
      <c r="A9" t="s">
        <v>42</v>
      </c>
      <c r="D9" s="4">
        <v>2578</v>
      </c>
      <c r="E9" s="5" t="s">
        <v>74</v>
      </c>
    </row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553369.5599999999</v>
      </c>
      <c r="C13" s="8">
        <f>SUM(C14:C25)</f>
        <v>558995.47</v>
      </c>
      <c r="D13" s="8">
        <f>SUM(D14:D25)</f>
        <v>-5625.91000000004</v>
      </c>
    </row>
    <row r="14" spans="1:4" ht="12.75" customHeight="1">
      <c r="A14" s="9" t="s">
        <v>59</v>
      </c>
      <c r="B14" s="8">
        <v>48913.09</v>
      </c>
      <c r="C14" s="8">
        <v>54637.16</v>
      </c>
      <c r="D14" s="8">
        <f aca="true" t="shared" si="0" ref="D14:D25">B14-C14</f>
        <v>-5724.070000000007</v>
      </c>
    </row>
    <row r="15" spans="1:4" ht="12.75" customHeight="1">
      <c r="A15" s="9" t="s">
        <v>47</v>
      </c>
      <c r="B15" s="8">
        <v>48913.09</v>
      </c>
      <c r="C15" s="13">
        <v>39495.57</v>
      </c>
      <c r="D15" s="8">
        <f t="shared" si="0"/>
        <v>9417.519999999997</v>
      </c>
    </row>
    <row r="16" spans="1:4" ht="12.75" customHeight="1">
      <c r="A16" s="9" t="s">
        <v>48</v>
      </c>
      <c r="B16" s="8">
        <v>48913.09</v>
      </c>
      <c r="C16" s="13">
        <v>40805.8</v>
      </c>
      <c r="D16" s="8">
        <f t="shared" si="0"/>
        <v>8107.289999999994</v>
      </c>
    </row>
    <row r="17" spans="1:4" ht="12.75" customHeight="1">
      <c r="A17" s="9" t="s">
        <v>49</v>
      </c>
      <c r="B17" s="8">
        <v>48913.09</v>
      </c>
      <c r="C17" s="13">
        <v>56471.77</v>
      </c>
      <c r="D17" s="8">
        <f t="shared" si="0"/>
        <v>-7558.68</v>
      </c>
    </row>
    <row r="18" spans="1:4" ht="12.75" customHeight="1">
      <c r="A18" s="9" t="s">
        <v>50</v>
      </c>
      <c r="B18" s="8">
        <v>48913.09</v>
      </c>
      <c r="C18" s="13">
        <v>53746.32</v>
      </c>
      <c r="D18" s="8">
        <f t="shared" si="0"/>
        <v>-4833.230000000003</v>
      </c>
    </row>
    <row r="19" spans="1:4" ht="12.75" customHeight="1">
      <c r="A19" s="9" t="s">
        <v>51</v>
      </c>
      <c r="B19" s="8">
        <v>48913.09</v>
      </c>
      <c r="C19" s="13">
        <v>42934.89</v>
      </c>
      <c r="D19" s="8">
        <f t="shared" si="0"/>
        <v>5978.199999999997</v>
      </c>
    </row>
    <row r="20" spans="1:4" ht="12.75" customHeight="1">
      <c r="A20" s="9" t="s">
        <v>52</v>
      </c>
      <c r="B20" s="8">
        <v>43315.17</v>
      </c>
      <c r="C20" s="13">
        <v>39736.57</v>
      </c>
      <c r="D20" s="8">
        <f t="shared" si="0"/>
        <v>3578.5999999999985</v>
      </c>
    </row>
    <row r="21" spans="1:4" ht="12.75" customHeight="1">
      <c r="A21" s="9" t="s">
        <v>53</v>
      </c>
      <c r="B21" s="8">
        <v>43315.17</v>
      </c>
      <c r="C21" s="13">
        <v>40039.78</v>
      </c>
      <c r="D21" s="8">
        <f t="shared" si="0"/>
        <v>3275.3899999999994</v>
      </c>
    </row>
    <row r="22" spans="1:4" ht="12.75" customHeight="1">
      <c r="A22" s="9" t="s">
        <v>54</v>
      </c>
      <c r="B22" s="8">
        <v>43315.17</v>
      </c>
      <c r="C22" s="13">
        <v>47452.41</v>
      </c>
      <c r="D22" s="8">
        <f t="shared" si="0"/>
        <v>-4137.240000000005</v>
      </c>
    </row>
    <row r="23" spans="1:4" ht="12.75" customHeight="1">
      <c r="A23" s="9" t="s">
        <v>55</v>
      </c>
      <c r="B23" s="8">
        <v>43315.17</v>
      </c>
      <c r="C23" s="13">
        <v>50803.23</v>
      </c>
      <c r="D23" s="13">
        <f t="shared" si="0"/>
        <v>-7488.060000000005</v>
      </c>
    </row>
    <row r="24" spans="1:4" ht="12.75" customHeight="1">
      <c r="A24" s="9" t="s">
        <v>56</v>
      </c>
      <c r="B24" s="8">
        <v>43315.17</v>
      </c>
      <c r="C24" s="13">
        <v>49325.04</v>
      </c>
      <c r="D24" s="13">
        <f t="shared" si="0"/>
        <v>-6009.870000000003</v>
      </c>
    </row>
    <row r="25" spans="1:4" ht="12.75" customHeight="1">
      <c r="A25" s="9" t="s">
        <v>57</v>
      </c>
      <c r="B25" s="8">
        <v>43315.17</v>
      </c>
      <c r="C25" s="13">
        <v>43546.93</v>
      </c>
      <c r="D25" s="13">
        <f t="shared" si="0"/>
        <v>-231.76000000000204</v>
      </c>
    </row>
    <row r="26" spans="1:4" ht="12.75">
      <c r="A26" s="7" t="s">
        <v>58</v>
      </c>
      <c r="B26" s="8">
        <f>SUM(B27:B38)</f>
        <v>475.56</v>
      </c>
      <c r="C26" s="8">
        <f>SUM(C27:C38)</f>
        <v>433.9</v>
      </c>
      <c r="D26" s="8">
        <f>SUM(D27:D38)</f>
        <v>41.66000000000002</v>
      </c>
    </row>
    <row r="27" spans="1:4" ht="12.75" customHeight="1">
      <c r="A27" s="9" t="s">
        <v>59</v>
      </c>
      <c r="B27" s="8">
        <v>39.63</v>
      </c>
      <c r="C27" s="8">
        <v>28.51</v>
      </c>
      <c r="D27" s="8">
        <f aca="true" t="shared" si="1" ref="D27:D38">B27-C27</f>
        <v>11.120000000000001</v>
      </c>
    </row>
    <row r="28" spans="1:4" ht="12.75" customHeight="1">
      <c r="A28" s="9" t="s">
        <v>47</v>
      </c>
      <c r="B28" s="8">
        <v>39.63</v>
      </c>
      <c r="C28" s="13">
        <v>24.82</v>
      </c>
      <c r="D28" s="8">
        <f t="shared" si="1"/>
        <v>14.810000000000002</v>
      </c>
    </row>
    <row r="29" spans="1:4" ht="12.75" customHeight="1">
      <c r="A29" s="9" t="s">
        <v>48</v>
      </c>
      <c r="B29" s="8">
        <v>39.63</v>
      </c>
      <c r="C29" s="13">
        <v>38.92</v>
      </c>
      <c r="D29" s="8">
        <f t="shared" si="1"/>
        <v>0.7100000000000009</v>
      </c>
    </row>
    <row r="30" spans="1:4" ht="12.75" customHeight="1">
      <c r="A30" s="9" t="s">
        <v>49</v>
      </c>
      <c r="B30" s="8">
        <v>39.63</v>
      </c>
      <c r="C30" s="13">
        <v>31.95</v>
      </c>
      <c r="D30" s="8">
        <f t="shared" si="1"/>
        <v>7.680000000000003</v>
      </c>
    </row>
    <row r="31" spans="1:4" ht="12.75" customHeight="1">
      <c r="A31" s="9" t="s">
        <v>50</v>
      </c>
      <c r="B31" s="8">
        <v>39.63</v>
      </c>
      <c r="C31" s="13">
        <v>34.31</v>
      </c>
      <c r="D31" s="8">
        <f t="shared" si="1"/>
        <v>5.32</v>
      </c>
    </row>
    <row r="32" spans="1:4" ht="12.75" customHeight="1">
      <c r="A32" s="9" t="s">
        <v>51</v>
      </c>
      <c r="B32" s="8">
        <v>39.63</v>
      </c>
      <c r="C32" s="13">
        <v>34.96</v>
      </c>
      <c r="D32" s="8">
        <f t="shared" si="1"/>
        <v>4.670000000000002</v>
      </c>
    </row>
    <row r="33" spans="1:4" ht="12.75" customHeight="1">
      <c r="A33" s="9" t="s">
        <v>52</v>
      </c>
      <c r="B33" s="8">
        <v>39.63</v>
      </c>
      <c r="C33" s="13">
        <v>35.34</v>
      </c>
      <c r="D33" s="8">
        <f t="shared" si="1"/>
        <v>4.289999999999999</v>
      </c>
    </row>
    <row r="34" spans="1:4" ht="12.75" customHeight="1">
      <c r="A34" s="9" t="s">
        <v>53</v>
      </c>
      <c r="B34" s="8">
        <v>39.63</v>
      </c>
      <c r="C34" s="13">
        <v>28.76</v>
      </c>
      <c r="D34" s="8">
        <f t="shared" si="1"/>
        <v>10.870000000000001</v>
      </c>
    </row>
    <row r="35" spans="1:4" ht="12.75" customHeight="1">
      <c r="A35" s="9" t="s">
        <v>54</v>
      </c>
      <c r="B35" s="8">
        <v>39.63</v>
      </c>
      <c r="C35" s="13">
        <v>33.7</v>
      </c>
      <c r="D35" s="8">
        <f t="shared" si="1"/>
        <v>5.93</v>
      </c>
    </row>
    <row r="36" spans="1:4" ht="12.75" customHeight="1">
      <c r="A36" s="9" t="s">
        <v>55</v>
      </c>
      <c r="B36" s="8">
        <v>39.63</v>
      </c>
      <c r="C36" s="13">
        <v>51.36</v>
      </c>
      <c r="D36" s="13">
        <f t="shared" si="1"/>
        <v>-11.729999999999997</v>
      </c>
    </row>
    <row r="37" spans="1:4" ht="12.75" customHeight="1">
      <c r="A37" s="9" t="s">
        <v>56</v>
      </c>
      <c r="B37" s="8">
        <v>39.63</v>
      </c>
      <c r="C37" s="13">
        <v>43.69</v>
      </c>
      <c r="D37" s="13">
        <f t="shared" si="1"/>
        <v>-4.059999999999995</v>
      </c>
    </row>
    <row r="38" spans="1:4" ht="12.75" customHeight="1">
      <c r="A38" s="9" t="s">
        <v>57</v>
      </c>
      <c r="B38" s="8">
        <v>39.63</v>
      </c>
      <c r="C38" s="13">
        <v>47.58</v>
      </c>
      <c r="D38" s="13">
        <f t="shared" si="1"/>
        <v>-7.949999999999996</v>
      </c>
    </row>
    <row r="39" spans="1:4" ht="12.75">
      <c r="A39" s="9" t="s">
        <v>60</v>
      </c>
      <c r="B39" s="8">
        <f>B13+B26</f>
        <v>553845.12</v>
      </c>
      <c r="C39" s="8">
        <f>C13+C26</f>
        <v>559429.37</v>
      </c>
      <c r="D39" s="8">
        <f>D13+D26</f>
        <v>-5584.25000000004</v>
      </c>
    </row>
    <row r="41" spans="1:4" ht="12.75">
      <c r="A41" t="s">
        <v>61</v>
      </c>
      <c r="D41" s="12">
        <f>D39</f>
        <v>-5584.25000000004</v>
      </c>
    </row>
    <row r="43" spans="1:4" ht="12.75">
      <c r="A43" s="11" t="s">
        <v>62</v>
      </c>
      <c r="D43" s="12">
        <f>D44+D45</f>
        <v>40101.12840000001</v>
      </c>
    </row>
    <row r="44" spans="1:4" ht="12.75" customHeight="1">
      <c r="A44" s="11" t="s">
        <v>63</v>
      </c>
      <c r="D44" s="12">
        <f>(1.33*12*D5)</f>
        <v>33971.01960000001</v>
      </c>
    </row>
    <row r="45" spans="1:4" ht="12.75" customHeight="1">
      <c r="A45" s="11" t="s">
        <v>64</v>
      </c>
      <c r="D45" s="12">
        <f>(0.24*12*D5)</f>
        <v>6130.1088</v>
      </c>
    </row>
    <row r="46" spans="1:4" ht="12.75">
      <c r="A46" s="11" t="s">
        <v>65</v>
      </c>
      <c r="D46" s="12">
        <v>0</v>
      </c>
    </row>
    <row r="47" spans="1:4" ht="12.75">
      <c r="A47" s="11" t="s">
        <v>109</v>
      </c>
      <c r="D47" s="12">
        <f>773.7*0.22*4+(773.7*2.5)</f>
        <v>2615.1059999999998</v>
      </c>
    </row>
    <row r="48" spans="1:4" ht="12.75">
      <c r="A48" s="11" t="s">
        <v>121</v>
      </c>
      <c r="D48" s="12">
        <f>(2.66*6*D5)</f>
        <v>33971.01960000001</v>
      </c>
    </row>
    <row r="49" spans="1:4" ht="12.75" hidden="1">
      <c r="A49" s="11" t="s">
        <v>66</v>
      </c>
      <c r="D49" s="12">
        <v>0</v>
      </c>
    </row>
    <row r="50" spans="1:4" ht="12.75">
      <c r="A50" s="11" t="s">
        <v>108</v>
      </c>
      <c r="D50" s="12">
        <f>(0.72*3*D5)</f>
        <v>4597.5816</v>
      </c>
    </row>
    <row r="51" spans="1:4" ht="12.75">
      <c r="A51" s="11" t="s">
        <v>67</v>
      </c>
      <c r="D51" s="12">
        <f>(1.45*12*D5)</f>
        <v>37036.074</v>
      </c>
    </row>
    <row r="52" spans="1:4" ht="12.75">
      <c r="A52" s="11" t="s">
        <v>68</v>
      </c>
      <c r="D52" s="12">
        <f>(5.11*12*D5)</f>
        <v>130520.23320000003</v>
      </c>
    </row>
    <row r="53" spans="1:4" ht="12.75">
      <c r="A53" s="11" t="s">
        <v>69</v>
      </c>
      <c r="D53" s="12">
        <f>(0.29*12*D5)</f>
        <v>7407.2148</v>
      </c>
    </row>
    <row r="54" spans="1:4" ht="12.75">
      <c r="A54" s="11" t="s">
        <v>110</v>
      </c>
      <c r="D54" s="12">
        <f>(3.87*12*D5)</f>
        <v>98848.0044</v>
      </c>
    </row>
    <row r="55" spans="1:4" ht="12.75">
      <c r="A55" s="11" t="s">
        <v>70</v>
      </c>
      <c r="D55" s="12">
        <f>2.25*12*D6</f>
        <v>1215</v>
      </c>
    </row>
    <row r="56" spans="1:4" ht="12.75">
      <c r="A56" s="11" t="s">
        <v>71</v>
      </c>
      <c r="D56" s="12">
        <v>175523</v>
      </c>
    </row>
    <row r="57" spans="1:4" ht="12.75">
      <c r="A57" s="11" t="s">
        <v>72</v>
      </c>
      <c r="D57" s="12">
        <f>(0.91*12*D5)</f>
        <v>23243.329200000004</v>
      </c>
    </row>
    <row r="58" spans="1:4" ht="12.75">
      <c r="A58" s="14" t="s">
        <v>96</v>
      </c>
      <c r="D58" s="12">
        <v>0</v>
      </c>
    </row>
    <row r="59" spans="1:4" ht="12.75">
      <c r="A59" s="11"/>
      <c r="D59" s="12"/>
    </row>
    <row r="60" spans="1:4" ht="12.75">
      <c r="A60" s="11" t="s">
        <v>73</v>
      </c>
      <c r="D60" s="12">
        <f>D43+D46+D47+D48+D49+D50+D51+D52+D53+D54+D55+D56+D57+D58</f>
        <v>555077.6912</v>
      </c>
    </row>
    <row r="61" spans="1:4" ht="12.75">
      <c r="A61" s="11"/>
      <c r="D61" s="12"/>
    </row>
    <row r="62" spans="1:4" ht="12.75">
      <c r="A62" t="s">
        <v>100</v>
      </c>
      <c r="D62" s="12">
        <f>C39-D60</f>
        <v>4351.678799999994</v>
      </c>
    </row>
    <row r="64" spans="1:2" ht="12.75" hidden="1">
      <c r="A64">
        <v>14775</v>
      </c>
      <c r="B64" t="s">
        <v>190</v>
      </c>
    </row>
    <row r="65" spans="1:2" ht="12.75" hidden="1">
      <c r="A65">
        <v>488</v>
      </c>
      <c r="B65" t="s">
        <v>27</v>
      </c>
    </row>
    <row r="66" spans="1:2" ht="12.75" hidden="1">
      <c r="A66">
        <v>151866</v>
      </c>
      <c r="B66" t="s">
        <v>220</v>
      </c>
    </row>
    <row r="67" spans="1:2" ht="12.75" hidden="1">
      <c r="A67">
        <v>4376</v>
      </c>
      <c r="B67" t="s">
        <v>217</v>
      </c>
    </row>
    <row r="68" spans="1:2" ht="12.75" hidden="1">
      <c r="A68">
        <v>1494</v>
      </c>
      <c r="B68" t="s">
        <v>119</v>
      </c>
    </row>
    <row r="69" spans="1:2" ht="12.75" hidden="1">
      <c r="A69">
        <v>2524</v>
      </c>
      <c r="B69" t="s">
        <v>136</v>
      </c>
    </row>
    <row r="70" ht="12.75" hidden="1">
      <c r="A70">
        <f>SUM(A64:A69)</f>
        <v>175523</v>
      </c>
    </row>
    <row r="71" ht="12.75" hidden="1"/>
    <row r="72" ht="12.75" hidden="1"/>
  </sheetData>
  <sheetProtection/>
  <mergeCells count="1">
    <mergeCell ref="A1:F1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G80"/>
  <sheetViews>
    <sheetView zoomScalePageLayoutView="0" workbookViewId="0" topLeftCell="A46">
      <selection activeCell="A64" sqref="A64:IV81"/>
    </sheetView>
  </sheetViews>
  <sheetFormatPr defaultColWidth="9.140625" defaultRowHeight="12.75"/>
  <cols>
    <col min="2" max="3" width="12.421875" style="0" bestFit="1" customWidth="1"/>
    <col min="4" max="4" width="11.421875" style="0" bestFit="1" customWidth="1"/>
  </cols>
  <sheetData>
    <row r="1" ht="12.75">
      <c r="A1" t="s">
        <v>2</v>
      </c>
    </row>
    <row r="2" ht="12.75">
      <c r="A2" t="s">
        <v>205</v>
      </c>
    </row>
    <row r="3" spans="1:7" ht="12.75">
      <c r="A3" s="1" t="s">
        <v>34</v>
      </c>
      <c r="B3" s="2" t="s">
        <v>35</v>
      </c>
      <c r="C3" s="1" t="s">
        <v>77</v>
      </c>
      <c r="D3" s="1"/>
      <c r="E3" s="1" t="s">
        <v>36</v>
      </c>
      <c r="F3" s="3" t="s">
        <v>78</v>
      </c>
      <c r="G3" s="21">
        <v>2018</v>
      </c>
    </row>
    <row r="5" spans="1:5" ht="12.75">
      <c r="A5" t="s">
        <v>37</v>
      </c>
      <c r="D5" s="23">
        <v>3032.5</v>
      </c>
      <c r="E5" s="5" t="s">
        <v>74</v>
      </c>
    </row>
    <row r="6" spans="1:5" ht="12.75">
      <c r="A6" t="s">
        <v>38</v>
      </c>
      <c r="D6" s="4">
        <v>140</v>
      </c>
      <c r="E6" s="5"/>
    </row>
    <row r="7" spans="1:5" ht="12.75">
      <c r="A7" t="s">
        <v>39</v>
      </c>
      <c r="D7" s="4">
        <v>301</v>
      </c>
      <c r="E7" s="5" t="s">
        <v>40</v>
      </c>
    </row>
    <row r="8" spans="1:5" ht="12.75">
      <c r="A8" t="s">
        <v>41</v>
      </c>
      <c r="D8" s="4">
        <v>153</v>
      </c>
      <c r="E8" s="5" t="s">
        <v>74</v>
      </c>
    </row>
    <row r="9" spans="1:5" ht="12.75">
      <c r="A9" t="s">
        <v>42</v>
      </c>
      <c r="D9" s="4">
        <v>134</v>
      </c>
      <c r="E9" s="5" t="s">
        <v>74</v>
      </c>
    </row>
    <row r="10" ht="13.5" customHeight="1"/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702150.96</v>
      </c>
      <c r="C13" s="8">
        <f>SUM(C14:C25)</f>
        <v>675425.9500000001</v>
      </c>
      <c r="D13" s="8">
        <f>SUM(D14:D25)</f>
        <v>26725.009999999987</v>
      </c>
    </row>
    <row r="14" spans="1:4" ht="12.75">
      <c r="A14" s="9" t="s">
        <v>59</v>
      </c>
      <c r="B14" s="8">
        <v>62500.67</v>
      </c>
      <c r="C14" s="8">
        <v>52496.24</v>
      </c>
      <c r="D14" s="8">
        <f aca="true" t="shared" si="0" ref="D14:D25">B14-C14</f>
        <v>10004.43</v>
      </c>
    </row>
    <row r="15" spans="1:4" ht="12.75">
      <c r="A15" s="9" t="s">
        <v>47</v>
      </c>
      <c r="B15" s="8">
        <v>62500.67</v>
      </c>
      <c r="C15" s="13">
        <v>60258.94</v>
      </c>
      <c r="D15" s="8">
        <f t="shared" si="0"/>
        <v>2241.729999999996</v>
      </c>
    </row>
    <row r="16" spans="1:4" ht="12.75">
      <c r="A16" s="9" t="s">
        <v>48</v>
      </c>
      <c r="B16" s="8">
        <v>62500.67</v>
      </c>
      <c r="C16" s="13">
        <v>59466.38</v>
      </c>
      <c r="D16" s="8">
        <f t="shared" si="0"/>
        <v>3034.290000000001</v>
      </c>
    </row>
    <row r="17" spans="1:4" ht="12.75">
      <c r="A17" s="9" t="s">
        <v>49</v>
      </c>
      <c r="B17" s="8">
        <v>62500.67</v>
      </c>
      <c r="C17" s="13">
        <v>58638.85</v>
      </c>
      <c r="D17" s="8">
        <f t="shared" si="0"/>
        <v>3861.8199999999997</v>
      </c>
    </row>
    <row r="18" spans="1:4" ht="12.75">
      <c r="A18" s="9" t="s">
        <v>50</v>
      </c>
      <c r="B18" s="8">
        <v>62500.67</v>
      </c>
      <c r="C18" s="13">
        <v>59981.84</v>
      </c>
      <c r="D18" s="8">
        <f t="shared" si="0"/>
        <v>2518.8300000000017</v>
      </c>
    </row>
    <row r="19" spans="1:4" ht="12.75">
      <c r="A19" s="9" t="s">
        <v>51</v>
      </c>
      <c r="B19" s="8">
        <v>62500.67</v>
      </c>
      <c r="C19" s="13">
        <v>57358.58</v>
      </c>
      <c r="D19" s="8">
        <f t="shared" si="0"/>
        <v>5142.0899999999965</v>
      </c>
    </row>
    <row r="20" spans="1:4" ht="12.75">
      <c r="A20" s="9" t="s">
        <v>52</v>
      </c>
      <c r="B20" s="8">
        <v>54524.49</v>
      </c>
      <c r="C20" s="13">
        <v>81001.12</v>
      </c>
      <c r="D20" s="8">
        <f t="shared" si="0"/>
        <v>-26476.629999999997</v>
      </c>
    </row>
    <row r="21" spans="1:4" ht="12.75">
      <c r="A21" s="9" t="s">
        <v>53</v>
      </c>
      <c r="B21" s="8">
        <v>54524.49</v>
      </c>
      <c r="C21" s="13">
        <v>44608.76</v>
      </c>
      <c r="D21" s="8">
        <f t="shared" si="0"/>
        <v>9915.729999999996</v>
      </c>
    </row>
    <row r="22" spans="1:4" ht="12.75">
      <c r="A22" s="9" t="s">
        <v>54</v>
      </c>
      <c r="B22" s="8">
        <v>54524.49</v>
      </c>
      <c r="C22" s="13">
        <v>51793.27</v>
      </c>
      <c r="D22" s="8">
        <f t="shared" si="0"/>
        <v>2731.220000000001</v>
      </c>
    </row>
    <row r="23" spans="1:4" ht="12.75">
      <c r="A23" s="9" t="s">
        <v>55</v>
      </c>
      <c r="B23" s="8">
        <v>54524.49</v>
      </c>
      <c r="C23" s="13">
        <v>49816.05</v>
      </c>
      <c r="D23" s="13">
        <f t="shared" si="0"/>
        <v>4708.439999999995</v>
      </c>
    </row>
    <row r="24" spans="1:4" ht="12.75">
      <c r="A24" s="9" t="s">
        <v>56</v>
      </c>
      <c r="B24" s="8">
        <v>54524.49</v>
      </c>
      <c r="C24" s="13">
        <v>45109.99</v>
      </c>
      <c r="D24" s="13">
        <f t="shared" si="0"/>
        <v>9414.5</v>
      </c>
    </row>
    <row r="25" spans="1:4" ht="12.75">
      <c r="A25" s="9" t="s">
        <v>57</v>
      </c>
      <c r="B25" s="8">
        <v>54524.49</v>
      </c>
      <c r="C25" s="13">
        <v>54895.93</v>
      </c>
      <c r="D25" s="13">
        <f t="shared" si="0"/>
        <v>-371.4400000000023</v>
      </c>
    </row>
    <row r="26" spans="1:4" ht="12.75">
      <c r="A26" s="7" t="s">
        <v>58</v>
      </c>
      <c r="B26" s="8">
        <f>SUM(B27:B38)</f>
        <v>826.9800000000001</v>
      </c>
      <c r="C26" s="8">
        <f>SUM(C27:C38)</f>
        <v>809.4499999999999</v>
      </c>
      <c r="D26" s="8">
        <f>SUM(D27:D38)</f>
        <v>17.53000000000001</v>
      </c>
    </row>
    <row r="27" spans="1:4" ht="12.75">
      <c r="A27" s="9" t="s">
        <v>59</v>
      </c>
      <c r="B27" s="8">
        <v>69.36</v>
      </c>
      <c r="C27" s="8">
        <v>51.32</v>
      </c>
      <c r="D27" s="8">
        <f aca="true" t="shared" si="1" ref="D27:D38">B27-C27</f>
        <v>18.04</v>
      </c>
    </row>
    <row r="28" spans="1:4" ht="12.75">
      <c r="A28" s="9" t="s">
        <v>47</v>
      </c>
      <c r="B28" s="8">
        <v>69.36</v>
      </c>
      <c r="C28" s="13">
        <v>85.78</v>
      </c>
      <c r="D28" s="8">
        <f t="shared" si="1"/>
        <v>-16.42</v>
      </c>
    </row>
    <row r="29" spans="1:4" ht="12.75">
      <c r="A29" s="9" t="s">
        <v>48</v>
      </c>
      <c r="B29" s="8">
        <v>69.36</v>
      </c>
      <c r="C29" s="13">
        <v>70.34</v>
      </c>
      <c r="D29" s="8">
        <f t="shared" si="1"/>
        <v>-0.980000000000004</v>
      </c>
    </row>
    <row r="30" spans="1:4" ht="12.75">
      <c r="A30" s="9" t="s">
        <v>49</v>
      </c>
      <c r="B30" s="8">
        <v>69.36</v>
      </c>
      <c r="C30" s="13">
        <v>68.56</v>
      </c>
      <c r="D30" s="8">
        <f t="shared" si="1"/>
        <v>0.7999999999999972</v>
      </c>
    </row>
    <row r="31" spans="1:4" ht="12.75">
      <c r="A31" s="9" t="s">
        <v>50</v>
      </c>
      <c r="B31" s="8">
        <v>69.36</v>
      </c>
      <c r="C31" s="13">
        <v>82.19</v>
      </c>
      <c r="D31" s="8">
        <f t="shared" si="1"/>
        <v>-12.829999999999998</v>
      </c>
    </row>
    <row r="32" spans="1:4" ht="12.75">
      <c r="A32" s="9" t="s">
        <v>51</v>
      </c>
      <c r="B32" s="8">
        <v>69.36</v>
      </c>
      <c r="C32" s="13">
        <v>64.26</v>
      </c>
      <c r="D32" s="8">
        <f t="shared" si="1"/>
        <v>5.099999999999994</v>
      </c>
    </row>
    <row r="33" spans="1:4" ht="12.75">
      <c r="A33" s="9" t="s">
        <v>52</v>
      </c>
      <c r="B33" s="8">
        <v>69.36</v>
      </c>
      <c r="C33" s="13">
        <v>143.7</v>
      </c>
      <c r="D33" s="8">
        <f t="shared" si="1"/>
        <v>-74.33999999999999</v>
      </c>
    </row>
    <row r="34" spans="1:4" ht="12.75">
      <c r="A34" s="9" t="s">
        <v>53</v>
      </c>
      <c r="B34" s="8">
        <v>69.36</v>
      </c>
      <c r="C34" s="13">
        <v>21.79</v>
      </c>
      <c r="D34" s="8">
        <f t="shared" si="1"/>
        <v>47.57</v>
      </c>
    </row>
    <row r="35" spans="1:4" ht="12.75">
      <c r="A35" s="9" t="s">
        <v>54</v>
      </c>
      <c r="B35" s="8">
        <v>69.36</v>
      </c>
      <c r="C35" s="13">
        <v>68.07</v>
      </c>
      <c r="D35" s="8">
        <f t="shared" si="1"/>
        <v>1.2900000000000063</v>
      </c>
    </row>
    <row r="36" spans="1:4" ht="12.75">
      <c r="A36" s="9" t="s">
        <v>55</v>
      </c>
      <c r="B36" s="13">
        <v>67.58</v>
      </c>
      <c r="C36" s="13">
        <v>45.93</v>
      </c>
      <c r="D36" s="13">
        <f t="shared" si="1"/>
        <v>21.65</v>
      </c>
    </row>
    <row r="37" spans="1:4" ht="12.75">
      <c r="A37" s="9" t="s">
        <v>56</v>
      </c>
      <c r="B37" s="13">
        <v>67.58</v>
      </c>
      <c r="C37" s="13">
        <v>51.86</v>
      </c>
      <c r="D37" s="13">
        <f t="shared" si="1"/>
        <v>15.719999999999999</v>
      </c>
    </row>
    <row r="38" spans="1:4" ht="12.75">
      <c r="A38" s="9" t="s">
        <v>57</v>
      </c>
      <c r="B38" s="13">
        <v>67.58</v>
      </c>
      <c r="C38" s="13">
        <v>55.65</v>
      </c>
      <c r="D38" s="13">
        <f t="shared" si="1"/>
        <v>11.93</v>
      </c>
    </row>
    <row r="39" spans="1:4" ht="12.75">
      <c r="A39" s="9" t="s">
        <v>60</v>
      </c>
      <c r="B39" s="8">
        <f>B13+B26</f>
        <v>702977.94</v>
      </c>
      <c r="C39" s="8">
        <f>C13+C26</f>
        <v>676235.4</v>
      </c>
      <c r="D39" s="8">
        <f>D13+D26</f>
        <v>26742.539999999986</v>
      </c>
    </row>
    <row r="41" spans="1:4" ht="12.75">
      <c r="A41" t="s">
        <v>61</v>
      </c>
      <c r="D41" s="12">
        <f>D39</f>
        <v>26742.539999999986</v>
      </c>
    </row>
    <row r="43" spans="1:4" ht="12.75" customHeight="1">
      <c r="A43" s="11" t="s">
        <v>62</v>
      </c>
      <c r="D43" s="22">
        <f>D44+D45</f>
        <v>57132.3</v>
      </c>
    </row>
    <row r="44" spans="1:4" ht="12.75">
      <c r="A44" s="11" t="s">
        <v>63</v>
      </c>
      <c r="D44" s="22">
        <f>(1.33*12*D5)</f>
        <v>48398.700000000004</v>
      </c>
    </row>
    <row r="45" spans="1:4" ht="12.75">
      <c r="A45" s="11" t="s">
        <v>64</v>
      </c>
      <c r="D45" s="22">
        <f>(0.24*12*D5)</f>
        <v>8733.6</v>
      </c>
    </row>
    <row r="46" spans="1:4" ht="12.75">
      <c r="A46" s="11" t="s">
        <v>65</v>
      </c>
      <c r="D46" s="22">
        <v>0</v>
      </c>
    </row>
    <row r="47" spans="1:4" ht="12.75">
      <c r="A47" s="11" t="s">
        <v>109</v>
      </c>
      <c r="D47" s="22">
        <f>1396.7*0.22*4+(1396.7*2.5)</f>
        <v>4720.846</v>
      </c>
    </row>
    <row r="48" spans="1:4" ht="12.75">
      <c r="A48" s="11" t="s">
        <v>121</v>
      </c>
      <c r="D48" s="22">
        <f>(2.66*6*D5)</f>
        <v>48398.700000000004</v>
      </c>
    </row>
    <row r="49" spans="1:4" ht="12.75" hidden="1">
      <c r="A49" s="11" t="s">
        <v>66</v>
      </c>
      <c r="D49" s="22">
        <v>0</v>
      </c>
    </row>
    <row r="50" spans="1:4" ht="12.75">
      <c r="A50" s="11" t="s">
        <v>108</v>
      </c>
      <c r="D50" s="22">
        <f>(0.72*3*D5)</f>
        <v>6550.200000000001</v>
      </c>
    </row>
    <row r="51" spans="1:4" ht="12.75">
      <c r="A51" s="11" t="s">
        <v>67</v>
      </c>
      <c r="D51" s="22">
        <f>(1.45*12*D5)</f>
        <v>52765.49999999999</v>
      </c>
    </row>
    <row r="52" spans="1:4" ht="12.75">
      <c r="A52" s="11" t="s">
        <v>68</v>
      </c>
      <c r="D52" s="22">
        <f>(5.11*12*D5)</f>
        <v>185952.90000000002</v>
      </c>
    </row>
    <row r="53" spans="1:4" ht="12.75">
      <c r="A53" s="11" t="s">
        <v>69</v>
      </c>
      <c r="D53" s="22">
        <v>0</v>
      </c>
    </row>
    <row r="54" spans="1:4" ht="12.75">
      <c r="A54" s="11" t="s">
        <v>110</v>
      </c>
      <c r="D54" s="22">
        <f>(3.87*12*D5)</f>
        <v>140829.3</v>
      </c>
    </row>
    <row r="55" spans="1:4" ht="12.75">
      <c r="A55" s="11" t="s">
        <v>70</v>
      </c>
      <c r="D55" s="22">
        <f>2.25*12*D6</f>
        <v>3780</v>
      </c>
    </row>
    <row r="56" spans="1:4" ht="12.75">
      <c r="A56" s="11" t="s">
        <v>71</v>
      </c>
      <c r="D56" s="22">
        <v>376108</v>
      </c>
    </row>
    <row r="57" spans="1:4" ht="12.75">
      <c r="A57" s="11" t="s">
        <v>72</v>
      </c>
      <c r="D57" s="22">
        <f>(0.63*12*D5)</f>
        <v>22925.7</v>
      </c>
    </row>
    <row r="58" spans="1:4" ht="12.75" hidden="1">
      <c r="A58" s="14" t="s">
        <v>96</v>
      </c>
      <c r="D58" s="22">
        <v>0</v>
      </c>
    </row>
    <row r="59" spans="1:4" ht="12.75">
      <c r="A59" s="11"/>
      <c r="D59" s="22"/>
    </row>
    <row r="60" spans="1:4" ht="12.75">
      <c r="A60" s="11" t="s">
        <v>73</v>
      </c>
      <c r="D60" s="22">
        <f>D43+D46+D47+D48+D49+D50+D51+D52+D53+D54+D55+D56+D57</f>
        <v>899163.446</v>
      </c>
    </row>
    <row r="61" spans="1:4" ht="12.75">
      <c r="A61" s="11"/>
      <c r="D61" s="22"/>
    </row>
    <row r="62" spans="1:4" ht="12.75">
      <c r="A62" t="s">
        <v>99</v>
      </c>
      <c r="D62" s="22">
        <f>C39-D60</f>
        <v>-222928.04599999997</v>
      </c>
    </row>
    <row r="64" spans="1:2" ht="12.75" hidden="1">
      <c r="A64">
        <v>491</v>
      </c>
      <c r="B64" t="s">
        <v>27</v>
      </c>
    </row>
    <row r="65" spans="1:2" ht="12.75" hidden="1">
      <c r="A65">
        <v>995</v>
      </c>
      <c r="B65" t="s">
        <v>138</v>
      </c>
    </row>
    <row r="66" spans="1:2" ht="12.75" hidden="1">
      <c r="A66">
        <v>3129</v>
      </c>
      <c r="B66" t="s">
        <v>170</v>
      </c>
    </row>
    <row r="67" spans="1:2" ht="12.75" hidden="1">
      <c r="A67">
        <v>3182</v>
      </c>
      <c r="B67" t="s">
        <v>124</v>
      </c>
    </row>
    <row r="68" spans="1:2" ht="12.75" hidden="1">
      <c r="A68">
        <v>8659</v>
      </c>
      <c r="B68" t="s">
        <v>119</v>
      </c>
    </row>
    <row r="69" spans="1:2" ht="12.75" hidden="1">
      <c r="A69">
        <v>2327</v>
      </c>
      <c r="B69" t="s">
        <v>27</v>
      </c>
    </row>
    <row r="70" spans="1:2" ht="12.75" hidden="1">
      <c r="A70">
        <v>50401</v>
      </c>
      <c r="B70" t="s">
        <v>182</v>
      </c>
    </row>
    <row r="71" spans="1:2" ht="12.75" hidden="1">
      <c r="A71">
        <v>3747</v>
      </c>
      <c r="B71" t="s">
        <v>18</v>
      </c>
    </row>
    <row r="72" spans="1:2" ht="12.75" hidden="1">
      <c r="A72">
        <v>1631</v>
      </c>
      <c r="B72" t="s">
        <v>124</v>
      </c>
    </row>
    <row r="73" spans="1:2" ht="12.75" hidden="1">
      <c r="A73">
        <v>6549</v>
      </c>
      <c r="B73" t="s">
        <v>18</v>
      </c>
    </row>
    <row r="74" spans="1:2" ht="12.75" hidden="1">
      <c r="A74">
        <v>1382</v>
      </c>
      <c r="B74" t="s">
        <v>23</v>
      </c>
    </row>
    <row r="75" spans="1:2" ht="12.75" hidden="1">
      <c r="A75">
        <v>3818</v>
      </c>
      <c r="B75" t="s">
        <v>146</v>
      </c>
    </row>
    <row r="76" spans="1:2" ht="12.75" hidden="1">
      <c r="A76">
        <v>2463</v>
      </c>
      <c r="B76" t="s">
        <v>119</v>
      </c>
    </row>
    <row r="77" spans="1:2" ht="12.75" hidden="1">
      <c r="A77">
        <v>758</v>
      </c>
      <c r="B77" t="s">
        <v>138</v>
      </c>
    </row>
    <row r="78" spans="1:2" ht="12.75" hidden="1">
      <c r="A78">
        <v>5294</v>
      </c>
      <c r="B78" t="s">
        <v>130</v>
      </c>
    </row>
    <row r="79" spans="1:2" ht="12.75" hidden="1">
      <c r="A79">
        <v>281282</v>
      </c>
      <c r="B79" t="s">
        <v>220</v>
      </c>
    </row>
    <row r="80" ht="12.75" hidden="1">
      <c r="A80">
        <f>SUM(A64:A79)</f>
        <v>376108</v>
      </c>
    </row>
    <row r="81" ht="12.75" hidden="1"/>
  </sheetData>
  <sheetProtection/>
  <printOptions/>
  <pageMargins left="0.7480314960629921" right="0.7480314960629921" top="0.1968503937007874" bottom="0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2"/>
  </sheetPr>
  <dimension ref="A1:G73"/>
  <sheetViews>
    <sheetView zoomScalePageLayoutView="0" workbookViewId="0" topLeftCell="A34">
      <selection activeCell="A64" sqref="A64:IV73"/>
    </sheetView>
  </sheetViews>
  <sheetFormatPr defaultColWidth="9.140625" defaultRowHeight="12.75"/>
  <cols>
    <col min="2" max="3" width="12.421875" style="0" bestFit="1" customWidth="1"/>
    <col min="4" max="4" width="12.28125" style="0" bestFit="1" customWidth="1"/>
  </cols>
  <sheetData>
    <row r="1" ht="12.75">
      <c r="A1" t="s">
        <v>7</v>
      </c>
    </row>
    <row r="3" spans="1:7" ht="12.75">
      <c r="A3" s="1" t="s">
        <v>34</v>
      </c>
      <c r="B3" s="2" t="s">
        <v>35</v>
      </c>
      <c r="C3" s="1" t="s">
        <v>87</v>
      </c>
      <c r="D3" s="1"/>
      <c r="E3" s="1" t="s">
        <v>36</v>
      </c>
      <c r="F3" s="3">
        <v>5</v>
      </c>
      <c r="G3" s="21">
        <v>2018</v>
      </c>
    </row>
    <row r="5" spans="1:5" ht="12.75">
      <c r="A5" t="s">
        <v>37</v>
      </c>
      <c r="D5" s="4">
        <v>3174.23</v>
      </c>
      <c r="E5" s="5" t="s">
        <v>74</v>
      </c>
    </row>
    <row r="6" spans="1:5" ht="12.75">
      <c r="A6" t="s">
        <v>38</v>
      </c>
      <c r="D6" s="4">
        <v>61</v>
      </c>
      <c r="E6" s="5"/>
    </row>
    <row r="7" spans="1:5" ht="12.75">
      <c r="A7" t="s">
        <v>39</v>
      </c>
      <c r="D7" s="4">
        <v>123</v>
      </c>
      <c r="E7" s="5" t="s">
        <v>40</v>
      </c>
    </row>
    <row r="8" spans="1:5" ht="12.75">
      <c r="A8" t="s">
        <v>41</v>
      </c>
      <c r="D8" s="4">
        <v>382.5</v>
      </c>
      <c r="E8" s="5" t="s">
        <v>74</v>
      </c>
    </row>
    <row r="9" spans="1:5" ht="12.75">
      <c r="A9" t="s">
        <v>42</v>
      </c>
      <c r="D9" s="4">
        <v>1169</v>
      </c>
      <c r="E9" s="5" t="s">
        <v>74</v>
      </c>
    </row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786474.8100000002</v>
      </c>
      <c r="C13" s="8">
        <f>SUM(C14:C25)</f>
        <v>758955.5800000001</v>
      </c>
      <c r="D13" s="8">
        <f>SUM(D14:D25)</f>
        <v>27519.22999999999</v>
      </c>
    </row>
    <row r="14" spans="1:4" ht="12.75">
      <c r="A14" s="9" t="s">
        <v>59</v>
      </c>
      <c r="B14" s="8">
        <v>70722.1</v>
      </c>
      <c r="C14" s="8">
        <v>71647.01</v>
      </c>
      <c r="D14" s="8">
        <f aca="true" t="shared" si="0" ref="D14:D25">B14-C14</f>
        <v>-924.9099999999889</v>
      </c>
    </row>
    <row r="15" spans="1:4" ht="12.75">
      <c r="A15" s="9" t="s">
        <v>47</v>
      </c>
      <c r="B15" s="8">
        <v>70693.15</v>
      </c>
      <c r="C15" s="13">
        <v>58539.19</v>
      </c>
      <c r="D15" s="8">
        <f t="shared" si="0"/>
        <v>12153.959999999992</v>
      </c>
    </row>
    <row r="16" spans="1:4" ht="12.75">
      <c r="A16" s="9" t="s">
        <v>48</v>
      </c>
      <c r="B16" s="8">
        <v>70693.15</v>
      </c>
      <c r="C16" s="13">
        <v>77940.22</v>
      </c>
      <c r="D16" s="8">
        <f t="shared" si="0"/>
        <v>-7247.070000000007</v>
      </c>
    </row>
    <row r="17" spans="1:4" ht="12.75">
      <c r="A17" s="9" t="s">
        <v>49</v>
      </c>
      <c r="B17" s="8">
        <v>70693.15</v>
      </c>
      <c r="C17" s="13">
        <v>57488.83</v>
      </c>
      <c r="D17" s="8">
        <f t="shared" si="0"/>
        <v>13204.319999999992</v>
      </c>
    </row>
    <row r="18" spans="1:4" ht="12.75">
      <c r="A18" s="9" t="s">
        <v>50</v>
      </c>
      <c r="B18" s="8">
        <v>70693.15</v>
      </c>
      <c r="C18" s="13">
        <v>66398.13</v>
      </c>
      <c r="D18" s="8">
        <f t="shared" si="0"/>
        <v>4295.0199999999895</v>
      </c>
    </row>
    <row r="19" spans="1:4" ht="12.75">
      <c r="A19" s="9" t="s">
        <v>51</v>
      </c>
      <c r="B19" s="8">
        <v>70693.15</v>
      </c>
      <c r="C19" s="13">
        <v>73544.33</v>
      </c>
      <c r="D19" s="8">
        <f t="shared" si="0"/>
        <v>-2851.1800000000076</v>
      </c>
    </row>
    <row r="20" spans="1:4" ht="12.75">
      <c r="A20" s="9" t="s">
        <v>52</v>
      </c>
      <c r="B20" s="8">
        <v>60381.16</v>
      </c>
      <c r="C20" s="13">
        <v>63716.87</v>
      </c>
      <c r="D20" s="8">
        <f t="shared" si="0"/>
        <v>-3335.709999999999</v>
      </c>
    </row>
    <row r="21" spans="1:4" ht="12.75">
      <c r="A21" s="9" t="s">
        <v>53</v>
      </c>
      <c r="B21" s="8">
        <v>60381.16</v>
      </c>
      <c r="C21" s="13">
        <v>56952.66</v>
      </c>
      <c r="D21" s="8">
        <f t="shared" si="0"/>
        <v>3428.5</v>
      </c>
    </row>
    <row r="22" spans="1:4" ht="12.75">
      <c r="A22" s="9" t="s">
        <v>54</v>
      </c>
      <c r="B22" s="8">
        <v>60381.16</v>
      </c>
      <c r="C22" s="13">
        <v>62587.95</v>
      </c>
      <c r="D22" s="8">
        <f t="shared" si="0"/>
        <v>-2206.7899999999936</v>
      </c>
    </row>
    <row r="23" spans="1:4" ht="12.75">
      <c r="A23" s="9" t="s">
        <v>55</v>
      </c>
      <c r="B23" s="8">
        <v>60381.16</v>
      </c>
      <c r="C23" s="13">
        <v>54947.15</v>
      </c>
      <c r="D23" s="13">
        <f t="shared" si="0"/>
        <v>5434.010000000002</v>
      </c>
    </row>
    <row r="24" spans="1:4" ht="12.75">
      <c r="A24" s="9" t="s">
        <v>56</v>
      </c>
      <c r="B24" s="8">
        <v>60381.16</v>
      </c>
      <c r="C24" s="13">
        <v>53710.93</v>
      </c>
      <c r="D24" s="13">
        <f t="shared" si="0"/>
        <v>6670.230000000003</v>
      </c>
    </row>
    <row r="25" spans="1:4" ht="12.75">
      <c r="A25" s="9" t="s">
        <v>57</v>
      </c>
      <c r="B25" s="8">
        <v>60381.16</v>
      </c>
      <c r="C25" s="13">
        <v>61482.31</v>
      </c>
      <c r="D25" s="13">
        <f t="shared" si="0"/>
        <v>-1101.1499999999942</v>
      </c>
    </row>
    <row r="26" spans="1:4" ht="12.75">
      <c r="A26" s="7" t="s">
        <v>58</v>
      </c>
      <c r="B26" s="8">
        <f>SUM(B27:B38)</f>
        <v>30.11999999999999</v>
      </c>
      <c r="C26" s="8">
        <f>SUM(C27:C38)</f>
        <v>0</v>
      </c>
      <c r="D26" s="8">
        <f>SUM(D27:D38)</f>
        <v>30.11999999999999</v>
      </c>
    </row>
    <row r="27" spans="1:4" ht="12.75">
      <c r="A27" s="9" t="s">
        <v>59</v>
      </c>
      <c r="B27" s="8">
        <v>2.51</v>
      </c>
      <c r="C27" s="8">
        <v>0</v>
      </c>
      <c r="D27" s="8">
        <f aca="true" t="shared" si="1" ref="D27:D36">B27-C27</f>
        <v>2.51</v>
      </c>
    </row>
    <row r="28" spans="1:4" ht="12.75">
      <c r="A28" s="9" t="s">
        <v>47</v>
      </c>
      <c r="B28" s="8">
        <v>2.51</v>
      </c>
      <c r="C28" s="8">
        <v>0</v>
      </c>
      <c r="D28" s="8">
        <f t="shared" si="1"/>
        <v>2.51</v>
      </c>
    </row>
    <row r="29" spans="1:4" ht="12.75">
      <c r="A29" s="9" t="s">
        <v>48</v>
      </c>
      <c r="B29" s="8">
        <v>2.51</v>
      </c>
      <c r="C29" s="13">
        <v>0</v>
      </c>
      <c r="D29" s="8">
        <f t="shared" si="1"/>
        <v>2.51</v>
      </c>
    </row>
    <row r="30" spans="1:4" ht="12.75">
      <c r="A30" s="9" t="s">
        <v>49</v>
      </c>
      <c r="B30" s="8">
        <v>2.51</v>
      </c>
      <c r="C30" s="13">
        <v>0</v>
      </c>
      <c r="D30" s="8">
        <f t="shared" si="1"/>
        <v>2.51</v>
      </c>
    </row>
    <row r="31" spans="1:4" ht="12.75">
      <c r="A31" s="9" t="s">
        <v>50</v>
      </c>
      <c r="B31" s="8">
        <v>2.51</v>
      </c>
      <c r="C31" s="13">
        <v>0</v>
      </c>
      <c r="D31" s="8">
        <f t="shared" si="1"/>
        <v>2.51</v>
      </c>
    </row>
    <row r="32" spans="1:4" ht="12.75">
      <c r="A32" s="9" t="s">
        <v>51</v>
      </c>
      <c r="B32" s="8">
        <v>2.51</v>
      </c>
      <c r="C32" s="13">
        <v>0</v>
      </c>
      <c r="D32" s="8">
        <f t="shared" si="1"/>
        <v>2.51</v>
      </c>
    </row>
    <row r="33" spans="1:4" ht="12.75">
      <c r="A33" s="9" t="s">
        <v>52</v>
      </c>
      <c r="B33" s="8">
        <v>2.51</v>
      </c>
      <c r="C33" s="13">
        <v>0</v>
      </c>
      <c r="D33" s="8">
        <f t="shared" si="1"/>
        <v>2.51</v>
      </c>
    </row>
    <row r="34" spans="1:4" ht="12.75">
      <c r="A34" s="9" t="s">
        <v>53</v>
      </c>
      <c r="B34" s="8">
        <v>2.51</v>
      </c>
      <c r="C34" s="13">
        <v>0</v>
      </c>
      <c r="D34" s="8">
        <f t="shared" si="1"/>
        <v>2.51</v>
      </c>
    </row>
    <row r="35" spans="1:4" ht="12.75">
      <c r="A35" s="9" t="s">
        <v>54</v>
      </c>
      <c r="B35" s="8">
        <v>2.51</v>
      </c>
      <c r="C35" s="13">
        <v>0</v>
      </c>
      <c r="D35" s="8">
        <f t="shared" si="1"/>
        <v>2.51</v>
      </c>
    </row>
    <row r="36" spans="1:4" ht="12.75">
      <c r="A36" s="9" t="s">
        <v>55</v>
      </c>
      <c r="B36" s="8">
        <v>2.51</v>
      </c>
      <c r="C36" s="13">
        <v>0</v>
      </c>
      <c r="D36" s="13">
        <f t="shared" si="1"/>
        <v>2.51</v>
      </c>
    </row>
    <row r="37" spans="1:4" ht="12.75">
      <c r="A37" s="9" t="s">
        <v>56</v>
      </c>
      <c r="B37" s="8">
        <v>2.51</v>
      </c>
      <c r="C37" s="13">
        <v>0</v>
      </c>
      <c r="D37" s="13">
        <f>B37-C37</f>
        <v>2.51</v>
      </c>
    </row>
    <row r="38" spans="1:4" ht="12.75">
      <c r="A38" s="9" t="s">
        <v>57</v>
      </c>
      <c r="B38" s="8">
        <v>2.51</v>
      </c>
      <c r="C38" s="13">
        <v>0</v>
      </c>
      <c r="D38" s="13">
        <f>B38-C38</f>
        <v>2.51</v>
      </c>
    </row>
    <row r="39" spans="1:4" ht="12.75">
      <c r="A39" s="9" t="s">
        <v>60</v>
      </c>
      <c r="B39" s="8">
        <f>B13+B26</f>
        <v>786504.9300000002</v>
      </c>
      <c r="C39" s="8">
        <f>C13+C26</f>
        <v>758955.5800000001</v>
      </c>
      <c r="D39" s="8">
        <f>D13+D26</f>
        <v>27549.349999999988</v>
      </c>
    </row>
    <row r="40" ht="12.75">
      <c r="F40" s="20"/>
    </row>
    <row r="41" spans="1:4" ht="12.75">
      <c r="A41" t="s">
        <v>61</v>
      </c>
      <c r="D41" s="12">
        <f>D39</f>
        <v>27549.349999999988</v>
      </c>
    </row>
    <row r="43" spans="1:4" ht="12.75">
      <c r="A43" s="11" t="s">
        <v>62</v>
      </c>
      <c r="D43" s="12">
        <f>D44+D45</f>
        <v>108558.666</v>
      </c>
    </row>
    <row r="44" spans="1:4" ht="12.75">
      <c r="A44" s="11" t="s">
        <v>63</v>
      </c>
      <c r="D44" s="12">
        <f>(2.61*12*D5)</f>
        <v>99416.8836</v>
      </c>
    </row>
    <row r="45" spans="1:4" ht="12.75">
      <c r="A45" s="11" t="s">
        <v>64</v>
      </c>
      <c r="D45" s="12">
        <f>0.24*12*D5</f>
        <v>9141.7824</v>
      </c>
    </row>
    <row r="46" spans="1:4" ht="12.75" hidden="1">
      <c r="A46" s="11" t="s">
        <v>65</v>
      </c>
      <c r="D46" s="12">
        <v>0</v>
      </c>
    </row>
    <row r="47" spans="1:4" ht="12.75">
      <c r="A47" s="11" t="s">
        <v>109</v>
      </c>
      <c r="D47" s="12">
        <f>1343.8*2.5+(1343.8*0.22*4)</f>
        <v>4542.044</v>
      </c>
    </row>
    <row r="48" spans="1:5" ht="12.75">
      <c r="A48" s="11" t="s">
        <v>121</v>
      </c>
      <c r="D48" s="12">
        <f>(3.29*12*D5)</f>
        <v>125318.60040000001</v>
      </c>
      <c r="E48" s="12"/>
    </row>
    <row r="49" spans="1:4" ht="12.75" hidden="1">
      <c r="A49" s="11" t="s">
        <v>66</v>
      </c>
      <c r="D49" s="12">
        <v>0</v>
      </c>
    </row>
    <row r="50" spans="1:4" ht="12.75" hidden="1">
      <c r="A50" s="11" t="s">
        <v>108</v>
      </c>
      <c r="D50" s="12"/>
    </row>
    <row r="51" spans="1:4" ht="12.75">
      <c r="A51" s="11" t="s">
        <v>120</v>
      </c>
      <c r="D51" s="12">
        <f>(3.47*12*D5)+50000</f>
        <v>182174.93720000001</v>
      </c>
    </row>
    <row r="52" spans="1:4" ht="12.75" hidden="1">
      <c r="A52" s="11" t="s">
        <v>68</v>
      </c>
      <c r="D52">
        <v>0</v>
      </c>
    </row>
    <row r="53" spans="1:6" ht="12.75">
      <c r="A53" s="11" t="s">
        <v>69</v>
      </c>
      <c r="D53" s="12">
        <f>(0.4*12*D5)</f>
        <v>15236.304000000002</v>
      </c>
      <c r="F53" s="18"/>
    </row>
    <row r="54" spans="1:4" ht="12.75" hidden="1">
      <c r="A54" s="11" t="s">
        <v>107</v>
      </c>
      <c r="D54" s="12">
        <v>0</v>
      </c>
    </row>
    <row r="55" spans="1:4" ht="12.75">
      <c r="A55" s="11" t="s">
        <v>70</v>
      </c>
      <c r="D55" s="12">
        <f>2.25*12*D6</f>
        <v>1647</v>
      </c>
    </row>
    <row r="56" spans="1:4" ht="12.75">
      <c r="A56" s="11" t="s">
        <v>71</v>
      </c>
      <c r="D56" s="12">
        <v>83580</v>
      </c>
    </row>
    <row r="57" spans="1:4" ht="12.75" hidden="1">
      <c r="A57" s="11" t="s">
        <v>72</v>
      </c>
      <c r="D57" s="12">
        <v>0</v>
      </c>
    </row>
    <row r="58" spans="1:4" ht="12.75" hidden="1">
      <c r="A58" s="14" t="s">
        <v>96</v>
      </c>
      <c r="D58" s="12">
        <v>0</v>
      </c>
    </row>
    <row r="59" spans="1:4" ht="12.75">
      <c r="A59" s="11"/>
      <c r="D59" s="12"/>
    </row>
    <row r="60" spans="1:4" ht="12.75">
      <c r="A60" s="11" t="s">
        <v>73</v>
      </c>
      <c r="D60" s="12">
        <f>D43+D46+D48+D49+D51+D53+D54+D55+D56+D57+D47</f>
        <v>521057.5516</v>
      </c>
    </row>
    <row r="61" spans="1:4" ht="12.75">
      <c r="A61" s="11"/>
      <c r="D61" s="12"/>
    </row>
    <row r="62" spans="1:4" ht="12.75">
      <c r="A62" t="s">
        <v>99</v>
      </c>
      <c r="D62" s="12">
        <f>C39-D60</f>
        <v>237898.02840000007</v>
      </c>
    </row>
    <row r="64" spans="1:2" ht="12.75" hidden="1">
      <c r="A64">
        <v>4843</v>
      </c>
      <c r="B64" t="s">
        <v>127</v>
      </c>
    </row>
    <row r="65" spans="1:2" ht="12.75" hidden="1">
      <c r="A65">
        <v>7198</v>
      </c>
      <c r="B65" t="s">
        <v>32</v>
      </c>
    </row>
    <row r="66" spans="1:2" ht="12.75" hidden="1">
      <c r="A66">
        <v>2967</v>
      </c>
      <c r="B66" t="s">
        <v>192</v>
      </c>
    </row>
    <row r="67" spans="1:2" ht="12.75" hidden="1">
      <c r="A67">
        <v>1033</v>
      </c>
      <c r="B67" t="s">
        <v>218</v>
      </c>
    </row>
    <row r="68" spans="1:2" ht="12.75" hidden="1">
      <c r="A68">
        <v>5691</v>
      </c>
      <c r="B68" t="s">
        <v>138</v>
      </c>
    </row>
    <row r="69" spans="1:2" ht="12.75" hidden="1">
      <c r="A69">
        <v>1494</v>
      </c>
      <c r="B69" t="s">
        <v>192</v>
      </c>
    </row>
    <row r="70" spans="1:2" ht="12.75" hidden="1">
      <c r="A70">
        <v>447</v>
      </c>
      <c r="B70" t="s">
        <v>27</v>
      </c>
    </row>
    <row r="71" spans="1:2" ht="12.75" hidden="1">
      <c r="A71">
        <v>461</v>
      </c>
      <c r="B71" t="s">
        <v>202</v>
      </c>
    </row>
    <row r="72" spans="1:2" ht="12.75" hidden="1">
      <c r="A72">
        <v>59446</v>
      </c>
      <c r="B72" t="s">
        <v>127</v>
      </c>
    </row>
    <row r="73" ht="12.75" hidden="1">
      <c r="A73">
        <f>SUM(A64:A72)</f>
        <v>83580</v>
      </c>
    </row>
  </sheetData>
  <sheetProtection/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2"/>
  </sheetPr>
  <dimension ref="A1:G73"/>
  <sheetViews>
    <sheetView zoomScalePageLayoutView="0" workbookViewId="0" topLeftCell="A38">
      <selection activeCell="A65" sqref="A65:IV73"/>
    </sheetView>
  </sheetViews>
  <sheetFormatPr defaultColWidth="9.140625" defaultRowHeight="12.75"/>
  <cols>
    <col min="2" max="3" width="12.421875" style="0" bestFit="1" customWidth="1"/>
    <col min="4" max="4" width="12.28125" style="0" bestFit="1" customWidth="1"/>
  </cols>
  <sheetData>
    <row r="1" spans="1:6" ht="25.5" customHeight="1">
      <c r="A1" s="25" t="s">
        <v>13</v>
      </c>
      <c r="B1" s="25"/>
      <c r="C1" s="25"/>
      <c r="D1" s="25"/>
      <c r="E1" s="25"/>
      <c r="F1" s="25"/>
    </row>
    <row r="3" spans="1:7" ht="12.75">
      <c r="A3" s="1" t="s">
        <v>34</v>
      </c>
      <c r="B3" s="2" t="s">
        <v>35</v>
      </c>
      <c r="C3" s="1" t="s">
        <v>87</v>
      </c>
      <c r="D3" s="1"/>
      <c r="E3" s="1" t="s">
        <v>36</v>
      </c>
      <c r="F3" s="3" t="s">
        <v>85</v>
      </c>
      <c r="G3" s="21">
        <v>2018</v>
      </c>
    </row>
    <row r="5" spans="1:5" ht="12.75">
      <c r="A5" t="s">
        <v>37</v>
      </c>
      <c r="D5" s="4">
        <v>1555.7</v>
      </c>
      <c r="E5" s="5" t="s">
        <v>74</v>
      </c>
    </row>
    <row r="6" spans="1:5" ht="12.75">
      <c r="A6" t="s">
        <v>38</v>
      </c>
      <c r="D6" s="4">
        <v>27</v>
      </c>
      <c r="E6" s="5"/>
    </row>
    <row r="7" spans="1:5" ht="12.75">
      <c r="A7" t="s">
        <v>39</v>
      </c>
      <c r="D7" s="4">
        <v>74</v>
      </c>
      <c r="E7" s="5" t="s">
        <v>40</v>
      </c>
    </row>
    <row r="8" spans="1:5" ht="12.75">
      <c r="A8" t="s">
        <v>41</v>
      </c>
      <c r="D8" s="4">
        <v>121.2</v>
      </c>
      <c r="E8" s="5" t="s">
        <v>74</v>
      </c>
    </row>
    <row r="9" spans="1:5" ht="12.75">
      <c r="A9" t="s">
        <v>42</v>
      </c>
      <c r="D9" s="4">
        <v>4123</v>
      </c>
      <c r="E9" s="5" t="s">
        <v>74</v>
      </c>
    </row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404150.0400000001</v>
      </c>
      <c r="C13" s="8">
        <f>SUM(C14:C25)</f>
        <v>387730.79</v>
      </c>
      <c r="D13" s="8">
        <f>SUM(D14:D25)</f>
        <v>16419.250000000004</v>
      </c>
    </row>
    <row r="14" spans="1:4" ht="12.75">
      <c r="A14" s="9" t="s">
        <v>59</v>
      </c>
      <c r="B14" s="8">
        <v>35812.25</v>
      </c>
      <c r="C14" s="8">
        <v>36190.43</v>
      </c>
      <c r="D14" s="8">
        <f aca="true" t="shared" si="0" ref="D14:D25">B14-C14</f>
        <v>-378.1800000000003</v>
      </c>
    </row>
    <row r="15" spans="1:4" ht="12.75">
      <c r="A15" s="9" t="s">
        <v>47</v>
      </c>
      <c r="B15" s="8">
        <v>35812.25</v>
      </c>
      <c r="C15" s="13">
        <v>34969.75</v>
      </c>
      <c r="D15" s="8">
        <f t="shared" si="0"/>
        <v>842.5</v>
      </c>
    </row>
    <row r="16" spans="1:4" ht="12.75">
      <c r="A16" s="9" t="s">
        <v>48</v>
      </c>
      <c r="B16" s="8">
        <v>35812.25</v>
      </c>
      <c r="C16" s="13">
        <v>34614.11</v>
      </c>
      <c r="D16" s="8">
        <f t="shared" si="0"/>
        <v>1198.1399999999994</v>
      </c>
    </row>
    <row r="17" spans="1:4" ht="12.75">
      <c r="A17" s="9" t="s">
        <v>49</v>
      </c>
      <c r="B17" s="8">
        <v>35812.25</v>
      </c>
      <c r="C17" s="13">
        <v>35397.82</v>
      </c>
      <c r="D17" s="8">
        <f t="shared" si="0"/>
        <v>414.4300000000003</v>
      </c>
    </row>
    <row r="18" spans="1:4" ht="12.75">
      <c r="A18" s="9" t="s">
        <v>50</v>
      </c>
      <c r="B18" s="8">
        <v>34577.75</v>
      </c>
      <c r="C18" s="13">
        <v>30022.7</v>
      </c>
      <c r="D18" s="8">
        <f t="shared" si="0"/>
        <v>4555.049999999999</v>
      </c>
    </row>
    <row r="19" spans="1:4" ht="12.75">
      <c r="A19" s="9" t="s">
        <v>51</v>
      </c>
      <c r="B19" s="8">
        <v>35812.25</v>
      </c>
      <c r="C19" s="13">
        <v>36602.74</v>
      </c>
      <c r="D19" s="8">
        <f t="shared" si="0"/>
        <v>-790.489999999998</v>
      </c>
    </row>
    <row r="20" spans="1:4" ht="12.75">
      <c r="A20" s="9" t="s">
        <v>52</v>
      </c>
      <c r="B20" s="8">
        <v>31751.84</v>
      </c>
      <c r="C20" s="13">
        <v>32293.18</v>
      </c>
      <c r="D20" s="8">
        <f t="shared" si="0"/>
        <v>-541.3400000000001</v>
      </c>
    </row>
    <row r="21" spans="1:4" ht="12.75">
      <c r="A21" s="9" t="s">
        <v>53</v>
      </c>
      <c r="B21" s="8">
        <v>31751.84</v>
      </c>
      <c r="C21" s="13">
        <v>37637.81</v>
      </c>
      <c r="D21" s="8">
        <f t="shared" si="0"/>
        <v>-5885.9699999999975</v>
      </c>
    </row>
    <row r="22" spans="1:4" ht="12.75">
      <c r="A22" s="9" t="s">
        <v>54</v>
      </c>
      <c r="B22" s="8">
        <v>31751.84</v>
      </c>
      <c r="C22" s="13">
        <v>15282.05</v>
      </c>
      <c r="D22" s="8">
        <f t="shared" si="0"/>
        <v>16469.79</v>
      </c>
    </row>
    <row r="23" spans="1:4" ht="12.75">
      <c r="A23" s="9" t="s">
        <v>55</v>
      </c>
      <c r="B23" s="8">
        <v>31751.84</v>
      </c>
      <c r="C23" s="13">
        <v>30382.14</v>
      </c>
      <c r="D23" s="13">
        <f t="shared" si="0"/>
        <v>1369.7000000000007</v>
      </c>
    </row>
    <row r="24" spans="1:4" ht="12.75">
      <c r="A24" s="9" t="s">
        <v>56</v>
      </c>
      <c r="B24" s="8">
        <v>31751.84</v>
      </c>
      <c r="C24" s="13">
        <v>32374.45</v>
      </c>
      <c r="D24" s="13">
        <f t="shared" si="0"/>
        <v>-622.6100000000006</v>
      </c>
    </row>
    <row r="25" spans="1:4" ht="12.75">
      <c r="A25" s="9" t="s">
        <v>57</v>
      </c>
      <c r="B25" s="8">
        <v>31751.84</v>
      </c>
      <c r="C25" s="13">
        <v>31963.61</v>
      </c>
      <c r="D25" s="13">
        <f t="shared" si="0"/>
        <v>-211.77000000000044</v>
      </c>
    </row>
    <row r="26" spans="1:4" ht="12.75">
      <c r="A26" s="7" t="s">
        <v>58</v>
      </c>
      <c r="B26" s="8">
        <f>SUM(B27:B38)</f>
        <v>138</v>
      </c>
      <c r="C26" s="8">
        <f>SUM(C27:C38)</f>
        <v>135.8</v>
      </c>
      <c r="D26" s="8">
        <f>SUM(D27:D38)</f>
        <v>2.1999999999999993</v>
      </c>
    </row>
    <row r="27" spans="1:4" ht="12.75">
      <c r="A27" s="9" t="s">
        <v>59</v>
      </c>
      <c r="B27" s="8">
        <v>11.5</v>
      </c>
      <c r="C27" s="8">
        <v>15.13</v>
      </c>
      <c r="D27" s="8">
        <f aca="true" t="shared" si="1" ref="D27:D38">B27-C27</f>
        <v>-3.630000000000001</v>
      </c>
    </row>
    <row r="28" spans="1:4" ht="12.75">
      <c r="A28" s="9" t="s">
        <v>47</v>
      </c>
      <c r="B28" s="8">
        <v>11.5</v>
      </c>
      <c r="C28" s="8">
        <v>11.5</v>
      </c>
      <c r="D28" s="8">
        <f t="shared" si="1"/>
        <v>0</v>
      </c>
    </row>
    <row r="29" spans="1:4" ht="12.75">
      <c r="A29" s="9" t="s">
        <v>48</v>
      </c>
      <c r="B29" s="8">
        <v>11.5</v>
      </c>
      <c r="C29" s="8">
        <v>11.5</v>
      </c>
      <c r="D29" s="8">
        <f t="shared" si="1"/>
        <v>0</v>
      </c>
    </row>
    <row r="30" spans="1:4" ht="12.75">
      <c r="A30" s="9" t="s">
        <v>49</v>
      </c>
      <c r="B30" s="8">
        <v>11.5</v>
      </c>
      <c r="C30" s="8">
        <v>8.03</v>
      </c>
      <c r="D30" s="8">
        <f t="shared" si="1"/>
        <v>3.4700000000000006</v>
      </c>
    </row>
    <row r="31" spans="1:4" ht="12.75">
      <c r="A31" s="9" t="s">
        <v>50</v>
      </c>
      <c r="B31" s="8">
        <v>11.5</v>
      </c>
      <c r="C31" s="8">
        <v>14.97</v>
      </c>
      <c r="D31" s="8">
        <f t="shared" si="1"/>
        <v>-3.4700000000000006</v>
      </c>
    </row>
    <row r="32" spans="1:4" ht="12.75">
      <c r="A32" s="9" t="s">
        <v>51</v>
      </c>
      <c r="B32" s="8">
        <v>11.5</v>
      </c>
      <c r="C32" s="8">
        <v>11.5</v>
      </c>
      <c r="D32" s="8">
        <f t="shared" si="1"/>
        <v>0</v>
      </c>
    </row>
    <row r="33" spans="1:4" ht="12.75">
      <c r="A33" s="9" t="s">
        <v>52</v>
      </c>
      <c r="B33" s="8">
        <v>11.5</v>
      </c>
      <c r="C33" s="8">
        <v>11.5</v>
      </c>
      <c r="D33" s="8">
        <f t="shared" si="1"/>
        <v>0</v>
      </c>
    </row>
    <row r="34" spans="1:4" ht="12.75">
      <c r="A34" s="9" t="s">
        <v>53</v>
      </c>
      <c r="B34" s="8">
        <v>11.5</v>
      </c>
      <c r="C34" s="8">
        <v>11.5</v>
      </c>
      <c r="D34" s="8">
        <f t="shared" si="1"/>
        <v>0</v>
      </c>
    </row>
    <row r="35" spans="1:4" ht="12.75">
      <c r="A35" s="9" t="s">
        <v>54</v>
      </c>
      <c r="B35" s="8">
        <v>11.5</v>
      </c>
      <c r="C35" s="8">
        <v>5.67</v>
      </c>
      <c r="D35" s="8">
        <f t="shared" si="1"/>
        <v>5.83</v>
      </c>
    </row>
    <row r="36" spans="1:4" ht="12.75">
      <c r="A36" s="9" t="s">
        <v>55</v>
      </c>
      <c r="B36" s="8">
        <v>11.5</v>
      </c>
      <c r="C36" s="8">
        <v>11.5</v>
      </c>
      <c r="D36" s="13">
        <f t="shared" si="1"/>
        <v>0</v>
      </c>
    </row>
    <row r="37" spans="1:4" ht="12.75">
      <c r="A37" s="9" t="s">
        <v>56</v>
      </c>
      <c r="B37" s="8">
        <v>11.5</v>
      </c>
      <c r="C37" s="8">
        <v>11.5</v>
      </c>
      <c r="D37" s="13">
        <f t="shared" si="1"/>
        <v>0</v>
      </c>
    </row>
    <row r="38" spans="1:4" ht="12.75">
      <c r="A38" s="9" t="s">
        <v>57</v>
      </c>
      <c r="B38" s="8">
        <v>11.5</v>
      </c>
      <c r="C38" s="8">
        <v>11.5</v>
      </c>
      <c r="D38" s="13">
        <f t="shared" si="1"/>
        <v>0</v>
      </c>
    </row>
    <row r="39" spans="1:4" ht="12.75">
      <c r="A39" s="9" t="s">
        <v>60</v>
      </c>
      <c r="B39" s="8">
        <f>B13+B26</f>
        <v>404288.0400000001</v>
      </c>
      <c r="C39" s="8">
        <f>C13+C26</f>
        <v>387866.58999999997</v>
      </c>
      <c r="D39" s="8">
        <f>D13+D26</f>
        <v>16421.450000000004</v>
      </c>
    </row>
    <row r="41" spans="1:4" ht="12.75">
      <c r="A41" t="s">
        <v>61</v>
      </c>
      <c r="D41" s="12">
        <f>D39</f>
        <v>16421.450000000004</v>
      </c>
    </row>
    <row r="43" spans="1:4" ht="12.75">
      <c r="A43" s="11" t="s">
        <v>62</v>
      </c>
      <c r="D43" s="12">
        <f>D44+D45</f>
        <v>29309.388000000003</v>
      </c>
    </row>
    <row r="44" spans="1:4" ht="12.75">
      <c r="A44" s="11" t="s">
        <v>63</v>
      </c>
      <c r="D44" s="12">
        <f>(1.33*12*D5)</f>
        <v>24828.972</v>
      </c>
    </row>
    <row r="45" spans="1:4" ht="12.75">
      <c r="A45" s="11" t="s">
        <v>64</v>
      </c>
      <c r="D45" s="12">
        <f>(0.24*12*D5)</f>
        <v>4480.416</v>
      </c>
    </row>
    <row r="46" spans="1:4" ht="12.75">
      <c r="A46" s="11" t="s">
        <v>65</v>
      </c>
      <c r="D46" s="12">
        <v>0</v>
      </c>
    </row>
    <row r="47" spans="1:4" ht="12.75">
      <c r="A47" s="11" t="s">
        <v>109</v>
      </c>
      <c r="D47" s="12">
        <f>1055.9*0.22*4+(1055.9*2.5)</f>
        <v>3568.942</v>
      </c>
    </row>
    <row r="48" spans="1:4" ht="12.75">
      <c r="A48" s="11" t="s">
        <v>121</v>
      </c>
      <c r="D48" s="12">
        <f>(2.66*6*D5)</f>
        <v>24828.972</v>
      </c>
    </row>
    <row r="49" spans="1:4" ht="12.75" hidden="1">
      <c r="A49" s="11" t="s">
        <v>66</v>
      </c>
      <c r="D49" s="12">
        <v>0</v>
      </c>
    </row>
    <row r="50" spans="1:4" ht="12.75">
      <c r="A50" s="11" t="s">
        <v>108</v>
      </c>
      <c r="D50" s="12">
        <f>(0.72*3*D5)</f>
        <v>3360.3120000000004</v>
      </c>
    </row>
    <row r="51" spans="1:4" ht="12.75">
      <c r="A51" s="11" t="s">
        <v>67</v>
      </c>
      <c r="D51" s="12">
        <f>(1.45*12*D5)</f>
        <v>27069.18</v>
      </c>
    </row>
    <row r="52" spans="1:4" ht="12.75">
      <c r="A52" s="11" t="s">
        <v>68</v>
      </c>
      <c r="D52" s="12">
        <f>(5.11*4*D5)</f>
        <v>31798.508</v>
      </c>
    </row>
    <row r="53" spans="1:4" ht="12.75">
      <c r="A53" s="11" t="s">
        <v>69</v>
      </c>
      <c r="D53" s="12">
        <f>(0.29*12*D5)</f>
        <v>5413.835999999999</v>
      </c>
    </row>
    <row r="54" spans="1:4" ht="12.75">
      <c r="A54" s="11" t="s">
        <v>110</v>
      </c>
      <c r="D54" s="12">
        <f>(3.87*12*D5)</f>
        <v>72246.708</v>
      </c>
    </row>
    <row r="55" spans="1:4" ht="12.75">
      <c r="A55" s="11" t="s">
        <v>70</v>
      </c>
      <c r="D55" s="12">
        <f>2.25*12*D6</f>
        <v>729</v>
      </c>
    </row>
    <row r="56" spans="1:4" ht="12.75">
      <c r="A56" s="11" t="s">
        <v>71</v>
      </c>
      <c r="D56" s="12">
        <v>75928</v>
      </c>
    </row>
    <row r="57" spans="1:4" ht="12.75">
      <c r="A57" s="11" t="s">
        <v>72</v>
      </c>
      <c r="D57" s="12">
        <f>(0.91*12*D5)</f>
        <v>16988.244</v>
      </c>
    </row>
    <row r="58" spans="1:4" ht="12.75">
      <c r="A58" s="11"/>
      <c r="D58" s="12">
        <v>0</v>
      </c>
    </row>
    <row r="59" spans="1:4" ht="12.75">
      <c r="A59" s="11" t="s">
        <v>73</v>
      </c>
      <c r="D59" s="12">
        <f>D43+D46+D47+D48+D49+D50+D51+D52+D53+D54+D55+D56+D57+D58</f>
        <v>291241.09</v>
      </c>
    </row>
    <row r="60" ht="12.75">
      <c r="A60" s="11"/>
    </row>
    <row r="61" spans="1:4" ht="12.75">
      <c r="A61" t="s">
        <v>103</v>
      </c>
      <c r="D61" s="12">
        <f>C39-D59</f>
        <v>96625.49999999994</v>
      </c>
    </row>
    <row r="63" ht="12.75">
      <c r="A63" s="11" t="s">
        <v>71</v>
      </c>
    </row>
    <row r="65" spans="1:2" ht="12.75" hidden="1">
      <c r="A65">
        <v>50050</v>
      </c>
      <c r="B65" t="s">
        <v>180</v>
      </c>
    </row>
    <row r="66" spans="1:2" ht="12.75" hidden="1">
      <c r="A66">
        <v>511</v>
      </c>
      <c r="B66" t="s">
        <v>27</v>
      </c>
    </row>
    <row r="67" spans="1:2" ht="12.75" hidden="1">
      <c r="A67">
        <v>3818</v>
      </c>
      <c r="B67" t="s">
        <v>119</v>
      </c>
    </row>
    <row r="68" spans="1:2" ht="12.75" hidden="1">
      <c r="A68">
        <v>852</v>
      </c>
      <c r="B68" t="s">
        <v>15</v>
      </c>
    </row>
    <row r="69" spans="1:2" ht="12.75" hidden="1">
      <c r="A69">
        <v>5133</v>
      </c>
      <c r="B69" t="s">
        <v>23</v>
      </c>
    </row>
    <row r="70" spans="1:2" ht="12.75" hidden="1">
      <c r="A70">
        <v>5804</v>
      </c>
      <c r="B70" t="s">
        <v>126</v>
      </c>
    </row>
    <row r="71" spans="1:2" ht="12.75" hidden="1">
      <c r="A71">
        <v>2114</v>
      </c>
      <c r="B71" t="s">
        <v>119</v>
      </c>
    </row>
    <row r="72" spans="1:2" ht="12.75" hidden="1">
      <c r="A72">
        <v>7646</v>
      </c>
      <c r="B72" t="s">
        <v>29</v>
      </c>
    </row>
    <row r="73" ht="12.75" hidden="1">
      <c r="A73">
        <f>SUM(A65:A72)</f>
        <v>75928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2"/>
  </sheetPr>
  <dimension ref="A2:G69"/>
  <sheetViews>
    <sheetView zoomScalePageLayoutView="0" workbookViewId="0" topLeftCell="A28">
      <selection activeCell="A64" sqref="A64:IV69"/>
    </sheetView>
  </sheetViews>
  <sheetFormatPr defaultColWidth="9.140625" defaultRowHeight="12.75"/>
  <cols>
    <col min="2" max="3" width="12.421875" style="0" bestFit="1" customWidth="1"/>
    <col min="4" max="4" width="12.00390625" style="0" bestFit="1" customWidth="1"/>
  </cols>
  <sheetData>
    <row r="2" spans="1:6" ht="26.25" customHeight="1">
      <c r="A2" s="26" t="s">
        <v>11</v>
      </c>
      <c r="B2" s="26"/>
      <c r="C2" s="26"/>
      <c r="D2" s="26"/>
      <c r="E2" s="26"/>
      <c r="F2" s="26"/>
    </row>
    <row r="3" spans="1:7" ht="12.75">
      <c r="A3" s="1" t="s">
        <v>34</v>
      </c>
      <c r="B3" s="2" t="s">
        <v>35</v>
      </c>
      <c r="C3" s="1" t="s">
        <v>105</v>
      </c>
      <c r="D3" s="1"/>
      <c r="E3" s="1" t="s">
        <v>36</v>
      </c>
      <c r="F3" s="3">
        <v>3</v>
      </c>
      <c r="G3" s="21">
        <v>2018</v>
      </c>
    </row>
    <row r="5" spans="1:5" ht="12.75">
      <c r="A5" t="s">
        <v>37</v>
      </c>
      <c r="D5" s="4">
        <v>911.5</v>
      </c>
      <c r="E5" s="5" t="s">
        <v>74</v>
      </c>
    </row>
    <row r="6" spans="1:5" ht="12.75">
      <c r="A6" t="s">
        <v>38</v>
      </c>
      <c r="D6" s="4">
        <v>22</v>
      </c>
      <c r="E6" s="5"/>
    </row>
    <row r="7" spans="1:5" ht="12.75">
      <c r="A7" t="s">
        <v>39</v>
      </c>
      <c r="D7" s="4">
        <v>42</v>
      </c>
      <c r="E7" s="5" t="s">
        <v>40</v>
      </c>
    </row>
    <row r="8" spans="1:5" ht="12.75">
      <c r="A8" t="s">
        <v>41</v>
      </c>
      <c r="D8" s="4">
        <v>42</v>
      </c>
      <c r="E8" s="5" t="s">
        <v>74</v>
      </c>
    </row>
    <row r="9" spans="1:5" ht="12.75">
      <c r="A9" t="s">
        <v>42</v>
      </c>
      <c r="D9" s="4">
        <v>1237</v>
      </c>
      <c r="E9" s="5" t="s">
        <v>74</v>
      </c>
    </row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229704.47000000003</v>
      </c>
      <c r="C13" s="8">
        <f>SUM(C14:C25)</f>
        <v>229071.68000000002</v>
      </c>
      <c r="D13" s="8">
        <f>SUM(D14:D25)</f>
        <v>632.7899999999972</v>
      </c>
    </row>
    <row r="14" spans="1:4" ht="12.75">
      <c r="A14" s="9" t="s">
        <v>59</v>
      </c>
      <c r="B14" s="8">
        <v>20288.13</v>
      </c>
      <c r="C14" s="8">
        <v>20525.22</v>
      </c>
      <c r="D14" s="8">
        <f aca="true" t="shared" si="0" ref="D14:D25">B14-C14</f>
        <v>-237.09000000000015</v>
      </c>
    </row>
    <row r="15" spans="1:4" ht="12.75">
      <c r="A15" s="9" t="s">
        <v>47</v>
      </c>
      <c r="B15" s="8">
        <v>20386.95</v>
      </c>
      <c r="C15" s="13">
        <v>21569.18</v>
      </c>
      <c r="D15" s="8">
        <f t="shared" si="0"/>
        <v>-1182.2299999999996</v>
      </c>
    </row>
    <row r="16" spans="1:4" ht="12.75">
      <c r="A16" s="9" t="s">
        <v>48</v>
      </c>
      <c r="B16" s="8">
        <v>20386.95</v>
      </c>
      <c r="C16" s="13">
        <v>17988.26</v>
      </c>
      <c r="D16" s="8">
        <f t="shared" si="0"/>
        <v>2398.6900000000023</v>
      </c>
    </row>
    <row r="17" spans="1:4" ht="12.75">
      <c r="A17" s="9" t="s">
        <v>49</v>
      </c>
      <c r="B17" s="8">
        <v>20277.67</v>
      </c>
      <c r="C17" s="13">
        <v>16761.64</v>
      </c>
      <c r="D17" s="8">
        <f t="shared" si="0"/>
        <v>3516.029999999999</v>
      </c>
    </row>
    <row r="18" spans="1:4" ht="12.75">
      <c r="A18" s="9" t="s">
        <v>50</v>
      </c>
      <c r="B18" s="8">
        <v>20359.64</v>
      </c>
      <c r="C18" s="13">
        <v>20530.99</v>
      </c>
      <c r="D18" s="8">
        <f t="shared" si="0"/>
        <v>-171.35000000000218</v>
      </c>
    </row>
    <row r="19" spans="1:4" ht="12.75">
      <c r="A19" s="9" t="s">
        <v>51</v>
      </c>
      <c r="B19" s="8">
        <v>20359.64</v>
      </c>
      <c r="C19" s="13">
        <v>17879.51</v>
      </c>
      <c r="D19" s="8">
        <f t="shared" si="0"/>
        <v>2480.130000000001</v>
      </c>
    </row>
    <row r="20" spans="1:4" ht="12.75">
      <c r="A20" s="9" t="s">
        <v>52</v>
      </c>
      <c r="B20" s="8">
        <v>17973.54</v>
      </c>
      <c r="C20" s="13">
        <v>18901.77</v>
      </c>
      <c r="D20" s="8">
        <f t="shared" si="0"/>
        <v>-928.2299999999996</v>
      </c>
    </row>
    <row r="21" spans="1:4" ht="12.75">
      <c r="A21" s="9" t="s">
        <v>53</v>
      </c>
      <c r="B21" s="8">
        <v>17934.39</v>
      </c>
      <c r="C21" s="13">
        <v>17604.63</v>
      </c>
      <c r="D21" s="8">
        <f t="shared" si="0"/>
        <v>329.7599999999984</v>
      </c>
    </row>
    <row r="22" spans="1:4" ht="12.75">
      <c r="A22" s="9" t="s">
        <v>54</v>
      </c>
      <c r="B22" s="8">
        <v>17934.39</v>
      </c>
      <c r="C22" s="13">
        <v>16146.57</v>
      </c>
      <c r="D22" s="8">
        <f t="shared" si="0"/>
        <v>1787.8199999999997</v>
      </c>
    </row>
    <row r="23" spans="1:4" ht="12.75">
      <c r="A23" s="9" t="s">
        <v>55</v>
      </c>
      <c r="B23" s="8">
        <v>17934.39</v>
      </c>
      <c r="C23" s="13">
        <v>15399.34</v>
      </c>
      <c r="D23" s="13">
        <f t="shared" si="0"/>
        <v>2535.0499999999993</v>
      </c>
    </row>
    <row r="24" spans="1:4" ht="12.75">
      <c r="A24" s="9" t="s">
        <v>56</v>
      </c>
      <c r="B24" s="8">
        <v>17934.39</v>
      </c>
      <c r="C24" s="13">
        <v>20348.17</v>
      </c>
      <c r="D24" s="13">
        <f t="shared" si="0"/>
        <v>-2413.779999999999</v>
      </c>
    </row>
    <row r="25" spans="1:4" ht="12.75">
      <c r="A25" s="9" t="s">
        <v>57</v>
      </c>
      <c r="B25" s="8">
        <v>17934.39</v>
      </c>
      <c r="C25" s="13">
        <v>25416.4</v>
      </c>
      <c r="D25" s="13">
        <f t="shared" si="0"/>
        <v>-7482.010000000002</v>
      </c>
    </row>
    <row r="26" spans="1:4" ht="12.75">
      <c r="A26" s="7" t="s">
        <v>58</v>
      </c>
      <c r="B26" s="8">
        <f>SUM(B27:B38)</f>
        <v>75.07</v>
      </c>
      <c r="C26" s="8">
        <f>SUM(C27:C38)</f>
        <v>87.10000000000001</v>
      </c>
      <c r="D26" s="8">
        <f>SUM(D27:D38)</f>
        <v>-12.030000000000003</v>
      </c>
    </row>
    <row r="27" spans="1:4" ht="12.75">
      <c r="A27" s="9" t="s">
        <v>59</v>
      </c>
      <c r="B27" s="8">
        <v>6.27</v>
      </c>
      <c r="C27" s="8">
        <v>8.5</v>
      </c>
      <c r="D27" s="8">
        <f aca="true" t="shared" si="1" ref="D27:D38">B27-C27</f>
        <v>-2.2300000000000004</v>
      </c>
    </row>
    <row r="28" spans="1:4" ht="12.75">
      <c r="A28" s="9" t="s">
        <v>47</v>
      </c>
      <c r="B28" s="8">
        <v>6.27</v>
      </c>
      <c r="C28" s="8">
        <v>10.97</v>
      </c>
      <c r="D28" s="8">
        <f t="shared" si="1"/>
        <v>-4.700000000000001</v>
      </c>
    </row>
    <row r="29" spans="1:4" ht="12.75">
      <c r="A29" s="9" t="s">
        <v>48</v>
      </c>
      <c r="B29" s="8">
        <v>6.27</v>
      </c>
      <c r="C29" s="13">
        <v>1.82</v>
      </c>
      <c r="D29" s="8">
        <f t="shared" si="1"/>
        <v>4.449999999999999</v>
      </c>
    </row>
    <row r="30" spans="1:4" ht="12.75">
      <c r="A30" s="9" t="s">
        <v>49</v>
      </c>
      <c r="B30" s="8">
        <v>6.27</v>
      </c>
      <c r="C30" s="8">
        <v>10.67</v>
      </c>
      <c r="D30" s="8">
        <f t="shared" si="1"/>
        <v>-4.4</v>
      </c>
    </row>
    <row r="31" spans="1:4" ht="12.75">
      <c r="A31" s="9" t="s">
        <v>50</v>
      </c>
      <c r="B31" s="8">
        <v>6.27</v>
      </c>
      <c r="C31" s="13">
        <v>13.74</v>
      </c>
      <c r="D31" s="8">
        <f t="shared" si="1"/>
        <v>-7.470000000000001</v>
      </c>
    </row>
    <row r="32" spans="1:4" ht="12.75">
      <c r="A32" s="9" t="s">
        <v>51</v>
      </c>
      <c r="B32" s="8">
        <v>6.27</v>
      </c>
      <c r="C32" s="13">
        <v>2.83</v>
      </c>
      <c r="D32" s="8">
        <f t="shared" si="1"/>
        <v>3.4399999999999995</v>
      </c>
    </row>
    <row r="33" spans="1:4" ht="12.75">
      <c r="A33" s="9" t="s">
        <v>52</v>
      </c>
      <c r="B33" s="8">
        <v>6.27</v>
      </c>
      <c r="C33" s="13">
        <v>5.7</v>
      </c>
      <c r="D33" s="8">
        <f t="shared" si="1"/>
        <v>0.5699999999999994</v>
      </c>
    </row>
    <row r="34" spans="1:4" ht="12.75">
      <c r="A34" s="9" t="s">
        <v>53</v>
      </c>
      <c r="B34" s="8">
        <v>6.22</v>
      </c>
      <c r="C34" s="13">
        <v>0.71</v>
      </c>
      <c r="D34" s="8">
        <f t="shared" si="1"/>
        <v>5.51</v>
      </c>
    </row>
    <row r="35" spans="1:4" ht="12.75">
      <c r="A35" s="9" t="s">
        <v>54</v>
      </c>
      <c r="B35" s="8">
        <v>6.24</v>
      </c>
      <c r="C35" s="8">
        <v>0</v>
      </c>
      <c r="D35" s="8">
        <f t="shared" si="1"/>
        <v>6.24</v>
      </c>
    </row>
    <row r="36" spans="1:4" ht="12.75">
      <c r="A36" s="9" t="s">
        <v>55</v>
      </c>
      <c r="B36" s="8">
        <v>6.24</v>
      </c>
      <c r="C36" s="13">
        <v>5.52</v>
      </c>
      <c r="D36" s="13">
        <f t="shared" si="1"/>
        <v>0.7200000000000006</v>
      </c>
    </row>
    <row r="37" spans="1:4" ht="12.75">
      <c r="A37" s="9" t="s">
        <v>56</v>
      </c>
      <c r="B37" s="8">
        <v>6.24</v>
      </c>
      <c r="C37" s="13">
        <v>14.81</v>
      </c>
      <c r="D37" s="13">
        <f t="shared" si="1"/>
        <v>-8.57</v>
      </c>
    </row>
    <row r="38" spans="1:4" ht="12.75">
      <c r="A38" s="9" t="s">
        <v>57</v>
      </c>
      <c r="B38" s="8">
        <v>6.24</v>
      </c>
      <c r="C38" s="8">
        <v>11.83</v>
      </c>
      <c r="D38" s="13">
        <f t="shared" si="1"/>
        <v>-5.59</v>
      </c>
    </row>
    <row r="39" spans="1:4" ht="12.75">
      <c r="A39" s="9" t="s">
        <v>60</v>
      </c>
      <c r="B39" s="8">
        <f>B13+B26</f>
        <v>229779.54000000004</v>
      </c>
      <c r="C39" s="8">
        <f>C13+C26</f>
        <v>229158.78000000003</v>
      </c>
      <c r="D39" s="8">
        <f>D13+D26</f>
        <v>620.7599999999973</v>
      </c>
    </row>
    <row r="41" spans="1:4" ht="12.75">
      <c r="A41" t="s">
        <v>61</v>
      </c>
      <c r="D41" s="12">
        <f>D39</f>
        <v>620.7599999999973</v>
      </c>
    </row>
    <row r="43" spans="1:4" ht="12" customHeight="1">
      <c r="A43" s="11" t="s">
        <v>62</v>
      </c>
      <c r="D43" s="12">
        <f>D44+D45</f>
        <v>17172.66</v>
      </c>
    </row>
    <row r="44" spans="1:4" ht="12.75">
      <c r="A44" s="11" t="s">
        <v>63</v>
      </c>
      <c r="D44" s="12">
        <f>(1.33*12*D5)</f>
        <v>14547.54</v>
      </c>
    </row>
    <row r="45" spans="1:4" ht="12.75">
      <c r="A45" s="11" t="s">
        <v>64</v>
      </c>
      <c r="D45" s="12">
        <f>(0.24*12*D5)</f>
        <v>2625.12</v>
      </c>
    </row>
    <row r="46" spans="1:4" ht="12.75">
      <c r="A46" s="11" t="s">
        <v>65</v>
      </c>
      <c r="D46" s="12">
        <v>0</v>
      </c>
    </row>
    <row r="47" spans="1:4" ht="12.75">
      <c r="A47" s="11" t="s">
        <v>109</v>
      </c>
      <c r="D47" s="12">
        <v>0</v>
      </c>
    </row>
    <row r="48" spans="1:4" ht="12.75">
      <c r="A48" s="11" t="s">
        <v>121</v>
      </c>
      <c r="D48" s="12">
        <f>(2.66*6*D5)</f>
        <v>14547.54</v>
      </c>
    </row>
    <row r="49" spans="1:4" ht="12.75">
      <c r="A49" s="11" t="s">
        <v>66</v>
      </c>
      <c r="D49" s="12">
        <v>0</v>
      </c>
    </row>
    <row r="50" spans="1:4" ht="12.75">
      <c r="A50" s="11" t="s">
        <v>108</v>
      </c>
      <c r="D50" s="12">
        <f>(0.72*3*D5)</f>
        <v>1968.8400000000001</v>
      </c>
    </row>
    <row r="51" spans="1:4" ht="12.75">
      <c r="A51" s="11" t="s">
        <v>67</v>
      </c>
      <c r="D51" s="12">
        <f>(1.45*12*D5)</f>
        <v>15860.099999999999</v>
      </c>
    </row>
    <row r="52" spans="1:4" ht="12.75">
      <c r="A52" s="11" t="s">
        <v>68</v>
      </c>
      <c r="D52" s="12">
        <f>(5.11*12*D5)</f>
        <v>55893.18000000001</v>
      </c>
    </row>
    <row r="53" spans="1:4" ht="12.75">
      <c r="A53" s="11" t="s">
        <v>69</v>
      </c>
      <c r="D53" s="12">
        <f>(0.29*12*D5)</f>
        <v>3172.0199999999995</v>
      </c>
    </row>
    <row r="54" spans="1:4" ht="12.75">
      <c r="A54" s="11" t="s">
        <v>110</v>
      </c>
      <c r="D54" s="12">
        <f>(3.87*12*D5)</f>
        <v>42330.06</v>
      </c>
    </row>
    <row r="55" spans="1:4" ht="12.75">
      <c r="A55" s="11" t="s">
        <v>70</v>
      </c>
      <c r="D55" s="12">
        <f>2.25*12*D6</f>
        <v>594</v>
      </c>
    </row>
    <row r="56" spans="1:4" ht="12.75">
      <c r="A56" s="11" t="s">
        <v>71</v>
      </c>
      <c r="D56" s="12">
        <v>33364</v>
      </c>
    </row>
    <row r="57" spans="1:4" ht="12.75">
      <c r="A57" s="11" t="s">
        <v>72</v>
      </c>
      <c r="D57" s="12">
        <f>(0.91*12*D5)</f>
        <v>9953.58</v>
      </c>
    </row>
    <row r="58" spans="1:4" ht="12.75" hidden="1">
      <c r="A58" s="14" t="s">
        <v>96</v>
      </c>
      <c r="D58" s="12">
        <v>0</v>
      </c>
    </row>
    <row r="59" spans="1:4" ht="12.75">
      <c r="A59" s="11"/>
      <c r="D59" s="12"/>
    </row>
    <row r="60" spans="1:4" ht="12.75">
      <c r="A60" s="11" t="s">
        <v>73</v>
      </c>
      <c r="D60" s="12">
        <f>D43+D46+D47+D48+D49+D50+D51+D52+D53+D54+D55+D56+D57</f>
        <v>194855.98</v>
      </c>
    </row>
    <row r="61" spans="1:4" ht="12.75">
      <c r="A61" s="11"/>
      <c r="D61" s="12"/>
    </row>
    <row r="62" spans="1:4" ht="12.75">
      <c r="A62" t="s">
        <v>99</v>
      </c>
      <c r="D62" s="12">
        <f>C39-D60</f>
        <v>34302.80000000002</v>
      </c>
    </row>
    <row r="64" spans="1:2" ht="12.75" hidden="1">
      <c r="A64">
        <v>1136</v>
      </c>
      <c r="B64" t="s">
        <v>119</v>
      </c>
    </row>
    <row r="65" spans="1:2" ht="12.75" hidden="1">
      <c r="A65">
        <v>1141</v>
      </c>
      <c r="B65" t="s">
        <v>119</v>
      </c>
    </row>
    <row r="66" spans="1:2" ht="12.75" hidden="1">
      <c r="A66">
        <v>10964</v>
      </c>
      <c r="B66" t="s">
        <v>124</v>
      </c>
    </row>
    <row r="67" spans="1:2" ht="12.75" hidden="1">
      <c r="A67">
        <v>18661</v>
      </c>
      <c r="B67" t="s">
        <v>156</v>
      </c>
    </row>
    <row r="68" spans="1:2" ht="12.75" hidden="1">
      <c r="A68">
        <v>1462</v>
      </c>
      <c r="B68" t="s">
        <v>119</v>
      </c>
    </row>
    <row r="69" ht="12.75" hidden="1">
      <c r="A69">
        <f>SUM(A64:A68)</f>
        <v>33364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2"/>
  </sheetPr>
  <dimension ref="A2:G66"/>
  <sheetViews>
    <sheetView zoomScalePageLayoutView="0" workbookViewId="0" topLeftCell="A37">
      <selection activeCell="A64" sqref="A64:IV68"/>
    </sheetView>
  </sheetViews>
  <sheetFormatPr defaultColWidth="9.140625" defaultRowHeight="12.75"/>
  <cols>
    <col min="2" max="3" width="12.421875" style="0" bestFit="1" customWidth="1"/>
    <col min="4" max="4" width="12.28125" style="0" bestFit="1" customWidth="1"/>
  </cols>
  <sheetData>
    <row r="2" spans="1:6" ht="25.5" customHeight="1">
      <c r="A2" s="26" t="s">
        <v>11</v>
      </c>
      <c r="B2" s="26"/>
      <c r="C2" s="26"/>
      <c r="D2" s="26"/>
      <c r="E2" s="26"/>
      <c r="F2" s="26"/>
    </row>
    <row r="3" spans="1:7" ht="12.75">
      <c r="A3" s="1" t="s">
        <v>34</v>
      </c>
      <c r="B3" s="2" t="s">
        <v>35</v>
      </c>
      <c r="C3" s="1" t="s">
        <v>105</v>
      </c>
      <c r="D3" s="1"/>
      <c r="E3" s="1" t="s">
        <v>36</v>
      </c>
      <c r="F3" s="3">
        <v>4</v>
      </c>
      <c r="G3" s="21">
        <v>2018</v>
      </c>
    </row>
    <row r="5" spans="1:5" ht="12.75">
      <c r="A5" t="s">
        <v>37</v>
      </c>
      <c r="D5" s="4">
        <v>1329.3</v>
      </c>
      <c r="E5" s="5" t="s">
        <v>74</v>
      </c>
    </row>
    <row r="6" spans="1:5" ht="12.75">
      <c r="A6" t="s">
        <v>38</v>
      </c>
      <c r="D6" s="4">
        <v>36</v>
      </c>
      <c r="E6" s="5"/>
    </row>
    <row r="7" spans="1:5" ht="12.75">
      <c r="A7" t="s">
        <v>39</v>
      </c>
      <c r="D7" s="4">
        <v>73</v>
      </c>
      <c r="E7" s="5" t="s">
        <v>40</v>
      </c>
    </row>
    <row r="8" spans="1:5" ht="12.75">
      <c r="A8" t="s">
        <v>41</v>
      </c>
      <c r="D8" s="4">
        <v>400</v>
      </c>
      <c r="E8" s="5" t="s">
        <v>74</v>
      </c>
    </row>
    <row r="9" spans="1:5" ht="12.75">
      <c r="A9" t="s">
        <v>42</v>
      </c>
      <c r="D9" s="4">
        <v>2876</v>
      </c>
      <c r="E9" s="5" t="s">
        <v>74</v>
      </c>
    </row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338250.91</v>
      </c>
      <c r="C13" s="8">
        <f>SUM(C14:C25)</f>
        <v>385547.04</v>
      </c>
      <c r="D13" s="8">
        <f>SUM(D14:D25)</f>
        <v>-47296.12999999999</v>
      </c>
    </row>
    <row r="14" spans="1:4" ht="12.75">
      <c r="A14" s="9" t="s">
        <v>59</v>
      </c>
      <c r="B14" s="8">
        <v>29949.27</v>
      </c>
      <c r="C14" s="8">
        <v>76420.06</v>
      </c>
      <c r="D14" s="8">
        <f aca="true" t="shared" si="0" ref="D14:D25">B14-C14</f>
        <v>-46470.78999999999</v>
      </c>
    </row>
    <row r="15" spans="1:4" ht="12.75">
      <c r="A15" s="9" t="s">
        <v>47</v>
      </c>
      <c r="B15" s="8">
        <v>29949.27</v>
      </c>
      <c r="C15" s="13">
        <v>31852.5</v>
      </c>
      <c r="D15" s="8">
        <f t="shared" si="0"/>
        <v>-1903.2299999999996</v>
      </c>
    </row>
    <row r="16" spans="1:4" ht="12.75">
      <c r="A16" s="9" t="s">
        <v>48</v>
      </c>
      <c r="B16" s="8">
        <v>29949.27</v>
      </c>
      <c r="C16" s="13">
        <v>26137.22</v>
      </c>
      <c r="D16" s="8">
        <f t="shared" si="0"/>
        <v>3812.0499999999993</v>
      </c>
    </row>
    <row r="17" spans="1:4" ht="12.75">
      <c r="A17" s="9" t="s">
        <v>49</v>
      </c>
      <c r="B17" s="8">
        <v>29949.28</v>
      </c>
      <c r="C17" s="13">
        <v>30403.08</v>
      </c>
      <c r="D17" s="8">
        <f t="shared" si="0"/>
        <v>-453.8000000000029</v>
      </c>
    </row>
    <row r="18" spans="1:4" ht="12.75">
      <c r="A18" s="9" t="s">
        <v>50</v>
      </c>
      <c r="B18" s="8">
        <v>29949.27</v>
      </c>
      <c r="C18" s="13">
        <v>37554.51</v>
      </c>
      <c r="D18" s="8">
        <f t="shared" si="0"/>
        <v>-7605.240000000002</v>
      </c>
    </row>
    <row r="19" spans="1:4" ht="12.75">
      <c r="A19" s="9" t="s">
        <v>51</v>
      </c>
      <c r="B19" s="8">
        <v>29949.27</v>
      </c>
      <c r="C19" s="13">
        <v>35098.8</v>
      </c>
      <c r="D19" s="8">
        <f t="shared" si="0"/>
        <v>-5149.5300000000025</v>
      </c>
    </row>
    <row r="20" spans="1:4" ht="12.75">
      <c r="A20" s="9" t="s">
        <v>52</v>
      </c>
      <c r="B20" s="8">
        <v>26425.88</v>
      </c>
      <c r="C20" s="13">
        <v>20576.37</v>
      </c>
      <c r="D20" s="8">
        <f t="shared" si="0"/>
        <v>5849.510000000002</v>
      </c>
    </row>
    <row r="21" spans="1:4" ht="12.75">
      <c r="A21" s="9" t="s">
        <v>53</v>
      </c>
      <c r="B21" s="8">
        <v>26425.88</v>
      </c>
      <c r="C21" s="13">
        <v>26699.1</v>
      </c>
      <c r="D21" s="8">
        <f t="shared" si="0"/>
        <v>-273.2199999999975</v>
      </c>
    </row>
    <row r="22" spans="1:4" ht="12.75">
      <c r="A22" s="9" t="s">
        <v>54</v>
      </c>
      <c r="B22" s="8">
        <v>26425.88</v>
      </c>
      <c r="C22" s="13">
        <v>23462.8</v>
      </c>
      <c r="D22" s="8">
        <f t="shared" si="0"/>
        <v>2963.0800000000017</v>
      </c>
    </row>
    <row r="23" spans="1:4" ht="12.75">
      <c r="A23" s="9" t="s">
        <v>55</v>
      </c>
      <c r="B23" s="8">
        <v>26425.88</v>
      </c>
      <c r="C23" s="13">
        <v>32788.71</v>
      </c>
      <c r="D23" s="13">
        <f t="shared" si="0"/>
        <v>-6362.829999999998</v>
      </c>
    </row>
    <row r="24" spans="1:4" ht="12.75">
      <c r="A24" s="9" t="s">
        <v>56</v>
      </c>
      <c r="B24" s="8">
        <v>26425.88</v>
      </c>
      <c r="C24" s="13">
        <v>22446.93</v>
      </c>
      <c r="D24" s="13">
        <f t="shared" si="0"/>
        <v>3978.9500000000007</v>
      </c>
    </row>
    <row r="25" spans="1:4" ht="12.75">
      <c r="A25" s="9" t="s">
        <v>57</v>
      </c>
      <c r="B25" s="8">
        <v>26425.88</v>
      </c>
      <c r="C25" s="13">
        <v>22106.96</v>
      </c>
      <c r="D25" s="13">
        <f t="shared" si="0"/>
        <v>4318.920000000002</v>
      </c>
    </row>
    <row r="26" spans="1:4" ht="12.75">
      <c r="A26" s="7" t="s">
        <v>58</v>
      </c>
      <c r="B26" s="8">
        <f>SUM(B27:B38)</f>
        <v>132.32</v>
      </c>
      <c r="C26" s="8">
        <f>SUM(C27:C38)</f>
        <v>286.44</v>
      </c>
      <c r="D26" s="8">
        <f>SUM(D27:D38)</f>
        <v>-154.12000000000003</v>
      </c>
    </row>
    <row r="27" spans="1:4" ht="12.75">
      <c r="A27" s="9" t="s">
        <v>59</v>
      </c>
      <c r="B27" s="8">
        <v>11.86</v>
      </c>
      <c r="C27" s="8">
        <v>167.21</v>
      </c>
      <c r="D27" s="8">
        <f aca="true" t="shared" si="1" ref="D27:D38">B27-C27</f>
        <v>-155.35000000000002</v>
      </c>
    </row>
    <row r="28" spans="1:4" ht="12.75">
      <c r="A28" s="9" t="s">
        <v>47</v>
      </c>
      <c r="B28" s="8">
        <v>11.86</v>
      </c>
      <c r="C28" s="8">
        <v>8.8</v>
      </c>
      <c r="D28" s="8">
        <f t="shared" si="1"/>
        <v>3.0599999999999987</v>
      </c>
    </row>
    <row r="29" spans="1:4" ht="12.75">
      <c r="A29" s="9" t="s">
        <v>48</v>
      </c>
      <c r="B29" s="8">
        <v>11.86</v>
      </c>
      <c r="C29" s="13">
        <v>7.7</v>
      </c>
      <c r="D29" s="8">
        <f t="shared" si="1"/>
        <v>4.159999999999999</v>
      </c>
    </row>
    <row r="30" spans="1:4" ht="12.75">
      <c r="A30" s="9" t="s">
        <v>49</v>
      </c>
      <c r="B30" s="8">
        <v>11.86</v>
      </c>
      <c r="C30" s="13">
        <v>5.85</v>
      </c>
      <c r="D30" s="8">
        <f t="shared" si="1"/>
        <v>6.01</v>
      </c>
    </row>
    <row r="31" spans="1:4" ht="12.75">
      <c r="A31" s="9" t="s">
        <v>50</v>
      </c>
      <c r="B31" s="8">
        <v>11.86</v>
      </c>
      <c r="C31" s="13">
        <v>8.78</v>
      </c>
      <c r="D31" s="8">
        <f t="shared" si="1"/>
        <v>3.08</v>
      </c>
    </row>
    <row r="32" spans="1:4" ht="12.75">
      <c r="A32" s="9" t="s">
        <v>51</v>
      </c>
      <c r="B32" s="8">
        <v>11.86</v>
      </c>
      <c r="C32" s="13">
        <v>20.78</v>
      </c>
      <c r="D32" s="8">
        <f t="shared" si="1"/>
        <v>-8.920000000000002</v>
      </c>
    </row>
    <row r="33" spans="1:4" ht="12.75">
      <c r="A33" s="9" t="s">
        <v>52</v>
      </c>
      <c r="B33" s="8">
        <v>1.86</v>
      </c>
      <c r="C33" s="13">
        <v>8.5</v>
      </c>
      <c r="D33" s="8">
        <f t="shared" si="1"/>
        <v>-6.64</v>
      </c>
    </row>
    <row r="34" spans="1:4" ht="12.75">
      <c r="A34" s="9" t="s">
        <v>53</v>
      </c>
      <c r="B34" s="8">
        <v>11.86</v>
      </c>
      <c r="C34" s="13">
        <v>11.58</v>
      </c>
      <c r="D34" s="8">
        <f t="shared" si="1"/>
        <v>0.27999999999999936</v>
      </c>
    </row>
    <row r="35" spans="1:4" ht="12.75">
      <c r="A35" s="9" t="s">
        <v>54</v>
      </c>
      <c r="B35" s="8">
        <v>11.86</v>
      </c>
      <c r="C35" s="13">
        <v>14.75</v>
      </c>
      <c r="D35" s="8">
        <f t="shared" si="1"/>
        <v>-2.8900000000000006</v>
      </c>
    </row>
    <row r="36" spans="1:4" ht="12.75">
      <c r="A36" s="9" t="s">
        <v>55</v>
      </c>
      <c r="B36" s="8">
        <v>11.86</v>
      </c>
      <c r="C36" s="13">
        <v>12.24</v>
      </c>
      <c r="D36" s="13">
        <f t="shared" si="1"/>
        <v>-0.3800000000000008</v>
      </c>
    </row>
    <row r="37" spans="1:4" ht="12.75">
      <c r="A37" s="9" t="s">
        <v>56</v>
      </c>
      <c r="B37" s="8">
        <v>11.86</v>
      </c>
      <c r="C37" s="13">
        <v>8.51</v>
      </c>
      <c r="D37" s="13">
        <f t="shared" si="1"/>
        <v>3.3499999999999996</v>
      </c>
    </row>
    <row r="38" spans="1:4" ht="12.75">
      <c r="A38" s="9" t="s">
        <v>57</v>
      </c>
      <c r="B38" s="8">
        <v>11.86</v>
      </c>
      <c r="C38" s="13">
        <v>11.74</v>
      </c>
      <c r="D38" s="13">
        <f t="shared" si="1"/>
        <v>0.11999999999999922</v>
      </c>
    </row>
    <row r="39" spans="1:4" ht="12.75">
      <c r="A39" s="9" t="s">
        <v>60</v>
      </c>
      <c r="B39" s="8">
        <f>B13+B26</f>
        <v>338383.23</v>
      </c>
      <c r="C39" s="8">
        <f>C13+C26</f>
        <v>385833.48</v>
      </c>
      <c r="D39" s="8">
        <f>D13+D26</f>
        <v>-47450.24999999999</v>
      </c>
    </row>
    <row r="41" spans="1:4" ht="12.75">
      <c r="A41" t="s">
        <v>61</v>
      </c>
      <c r="D41" s="12">
        <f>D39</f>
        <v>-47450.24999999999</v>
      </c>
    </row>
    <row r="43" spans="1:4" ht="12.75">
      <c r="A43" s="11" t="s">
        <v>62</v>
      </c>
      <c r="D43" s="12">
        <f>D44+D45</f>
        <v>25044.012</v>
      </c>
    </row>
    <row r="44" spans="1:4" ht="12.75">
      <c r="A44" s="11" t="s">
        <v>63</v>
      </c>
      <c r="D44" s="12">
        <f>(1.33*12*D5)</f>
        <v>21215.628</v>
      </c>
    </row>
    <row r="45" spans="1:4" ht="12.75">
      <c r="A45" s="11" t="s">
        <v>64</v>
      </c>
      <c r="D45" s="12">
        <f>(0.24*12*D5)</f>
        <v>3828.3839999999996</v>
      </c>
    </row>
    <row r="46" spans="1:4" ht="12.75">
      <c r="A46" s="11" t="s">
        <v>65</v>
      </c>
      <c r="D46" s="12">
        <v>0</v>
      </c>
    </row>
    <row r="47" spans="1:4" ht="12.75">
      <c r="A47" s="11" t="s">
        <v>109</v>
      </c>
      <c r="D47" s="12">
        <v>0</v>
      </c>
    </row>
    <row r="48" spans="1:4" ht="12.75">
      <c r="A48" s="11" t="s">
        <v>121</v>
      </c>
      <c r="D48" s="12">
        <f>(2.66*6*D5)</f>
        <v>21215.628</v>
      </c>
    </row>
    <row r="49" spans="1:4" ht="12.75">
      <c r="A49" s="11" t="s">
        <v>66</v>
      </c>
      <c r="D49" s="12">
        <v>0</v>
      </c>
    </row>
    <row r="50" spans="1:4" ht="12.75">
      <c r="A50" s="11" t="s">
        <v>108</v>
      </c>
      <c r="D50" s="12">
        <f>(0.72*3*D5)</f>
        <v>2871.288</v>
      </c>
    </row>
    <row r="51" spans="1:4" ht="12.75">
      <c r="A51" s="11" t="s">
        <v>67</v>
      </c>
      <c r="D51" s="12">
        <f>(1.45*12*D5)</f>
        <v>23129.819999999996</v>
      </c>
    </row>
    <row r="52" spans="1:4" ht="12.75">
      <c r="A52" s="11" t="s">
        <v>68</v>
      </c>
      <c r="D52" s="12">
        <f>(5.11*12*D5)</f>
        <v>81512.676</v>
      </c>
    </row>
    <row r="53" spans="1:4" ht="12.75">
      <c r="A53" s="11" t="s">
        <v>69</v>
      </c>
      <c r="D53" s="12">
        <f>(0.29*12*D5)</f>
        <v>4625.963999999999</v>
      </c>
    </row>
    <row r="54" spans="1:4" ht="12.75">
      <c r="A54" s="11" t="s">
        <v>110</v>
      </c>
      <c r="D54" s="12">
        <f>(3.87*12*D5)</f>
        <v>61732.691999999995</v>
      </c>
    </row>
    <row r="55" spans="1:4" ht="12.75">
      <c r="A55" s="11" t="s">
        <v>70</v>
      </c>
      <c r="D55" s="12">
        <f>2.25*12*D6</f>
        <v>972</v>
      </c>
    </row>
    <row r="56" spans="1:4" ht="12.75">
      <c r="A56" s="11" t="s">
        <v>71</v>
      </c>
      <c r="D56" s="12">
        <v>9736</v>
      </c>
    </row>
    <row r="57" spans="1:4" ht="12.75">
      <c r="A57" s="11" t="s">
        <v>72</v>
      </c>
      <c r="D57" s="12">
        <f>(0.91*12*D5)</f>
        <v>14515.956</v>
      </c>
    </row>
    <row r="58" spans="1:4" ht="12.75">
      <c r="A58" s="14"/>
      <c r="D58" s="12"/>
    </row>
    <row r="59" spans="1:4" ht="12.75">
      <c r="A59" s="11"/>
      <c r="D59" s="12"/>
    </row>
    <row r="60" spans="1:4" ht="12.75">
      <c r="A60" s="11" t="s">
        <v>73</v>
      </c>
      <c r="D60" s="12">
        <f>D43+D46+D47+D48+D49+D50+D51+D52+D53+D54+D55+D56+D57+D58</f>
        <v>245356.03600000002</v>
      </c>
    </row>
    <row r="61" spans="1:4" ht="12.75">
      <c r="A61" s="11"/>
      <c r="D61" s="12"/>
    </row>
    <row r="62" spans="1:4" ht="12.75">
      <c r="A62" t="s">
        <v>99</v>
      </c>
      <c r="D62" s="12">
        <f>C39-D60</f>
        <v>140477.44399999996</v>
      </c>
    </row>
    <row r="64" spans="1:2" ht="12.75" hidden="1">
      <c r="A64">
        <v>8327</v>
      </c>
      <c r="B64" t="s">
        <v>124</v>
      </c>
    </row>
    <row r="65" spans="1:2" ht="12.75" hidden="1">
      <c r="A65">
        <v>1409</v>
      </c>
      <c r="B65" t="s">
        <v>119</v>
      </c>
    </row>
    <row r="66" ht="12.75" hidden="1">
      <c r="A66">
        <f>SUM(A64:A65)</f>
        <v>9736</v>
      </c>
    </row>
    <row r="67" ht="12.75" hidden="1"/>
    <row r="68" ht="12.75" hidden="1"/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2"/>
  </sheetPr>
  <dimension ref="A1:G67"/>
  <sheetViews>
    <sheetView zoomScalePageLayoutView="0" workbookViewId="0" topLeftCell="A37">
      <selection activeCell="G77" sqref="G77"/>
    </sheetView>
  </sheetViews>
  <sheetFormatPr defaultColWidth="9.140625" defaultRowHeight="12.75"/>
  <cols>
    <col min="2" max="2" width="12.421875" style="0" bestFit="1" customWidth="1"/>
    <col min="3" max="3" width="16.8515625" style="0" bestFit="1" customWidth="1"/>
    <col min="4" max="4" width="12.28125" style="0" bestFit="1" customWidth="1"/>
  </cols>
  <sheetData>
    <row r="1" ht="12.75">
      <c r="A1" t="s">
        <v>2</v>
      </c>
    </row>
    <row r="2" ht="12.75">
      <c r="A2" t="s">
        <v>205</v>
      </c>
    </row>
    <row r="3" spans="1:7" ht="12.75">
      <c r="A3" s="1" t="s">
        <v>34</v>
      </c>
      <c r="B3" s="2" t="s">
        <v>35</v>
      </c>
      <c r="C3" s="1" t="s">
        <v>88</v>
      </c>
      <c r="D3" s="1"/>
      <c r="E3" s="1" t="s">
        <v>36</v>
      </c>
      <c r="F3" s="3">
        <v>120</v>
      </c>
      <c r="G3" s="21">
        <v>2018</v>
      </c>
    </row>
    <row r="5" spans="1:5" ht="12.75">
      <c r="A5" t="s">
        <v>37</v>
      </c>
      <c r="D5" s="4">
        <v>1549.2</v>
      </c>
      <c r="E5" s="5" t="s">
        <v>74</v>
      </c>
    </row>
    <row r="6" spans="1:5" ht="12.75">
      <c r="A6" t="s">
        <v>38</v>
      </c>
      <c r="D6" s="4">
        <v>27</v>
      </c>
      <c r="E6" s="5"/>
    </row>
    <row r="7" spans="1:5" ht="12.75">
      <c r="A7" t="s">
        <v>39</v>
      </c>
      <c r="D7" s="4">
        <v>66</v>
      </c>
      <c r="E7" s="5" t="s">
        <v>40</v>
      </c>
    </row>
    <row r="8" spans="1:5" ht="12.75">
      <c r="A8" t="s">
        <v>41</v>
      </c>
      <c r="D8" s="4">
        <v>170.1</v>
      </c>
      <c r="E8" s="5" t="s">
        <v>74</v>
      </c>
    </row>
    <row r="9" spans="1:5" ht="12.75">
      <c r="A9" t="s">
        <v>42</v>
      </c>
      <c r="D9" s="4">
        <v>235</v>
      </c>
      <c r="E9" s="5" t="s">
        <v>74</v>
      </c>
    </row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327343.9600000001</v>
      </c>
      <c r="C13" s="8">
        <f>SUM(C14:C25)</f>
        <v>342709.39</v>
      </c>
      <c r="D13" s="8">
        <f>SUM(D14:D25)</f>
        <v>-15365.430000000018</v>
      </c>
    </row>
    <row r="14" spans="1:4" ht="12.75">
      <c r="A14" s="9" t="s">
        <v>59</v>
      </c>
      <c r="B14" s="8">
        <v>28974.35</v>
      </c>
      <c r="C14" s="8">
        <v>19638.94</v>
      </c>
      <c r="D14" s="8">
        <f>B14-C14</f>
        <v>9335.41</v>
      </c>
    </row>
    <row r="15" spans="1:4" ht="12.75">
      <c r="A15" s="9" t="s">
        <v>47</v>
      </c>
      <c r="B15" s="8">
        <v>28974.35</v>
      </c>
      <c r="C15" s="13">
        <v>27256.57</v>
      </c>
      <c r="D15" s="8">
        <f>B15-C15</f>
        <v>1717.7799999999988</v>
      </c>
    </row>
    <row r="16" spans="1:4" ht="12.75">
      <c r="A16" s="9" t="s">
        <v>48</v>
      </c>
      <c r="B16" s="8">
        <v>28974.35</v>
      </c>
      <c r="C16" s="13">
        <v>23326.22</v>
      </c>
      <c r="D16" s="8">
        <f>B16-C16</f>
        <v>5648.129999999997</v>
      </c>
    </row>
    <row r="17" spans="1:4" ht="12.75">
      <c r="A17" s="9" t="s">
        <v>49</v>
      </c>
      <c r="B17" s="8">
        <v>28974.35</v>
      </c>
      <c r="C17" s="13">
        <v>24956.14</v>
      </c>
      <c r="D17" s="8">
        <f>B17-C17</f>
        <v>4018.209999999999</v>
      </c>
    </row>
    <row r="18" spans="1:4" ht="12.75">
      <c r="A18" s="9" t="s">
        <v>50</v>
      </c>
      <c r="B18" s="8">
        <v>28974.35</v>
      </c>
      <c r="C18" s="13">
        <v>28298.72</v>
      </c>
      <c r="D18" s="8">
        <f>B18-C18</f>
        <v>675.6299999999974</v>
      </c>
    </row>
    <row r="19" spans="1:4" ht="12.75">
      <c r="A19" s="9" t="s">
        <v>51</v>
      </c>
      <c r="B19" s="8">
        <v>28974.35</v>
      </c>
      <c r="C19" s="13">
        <v>44771.17</v>
      </c>
      <c r="D19" s="8">
        <f aca="true" t="shared" si="0" ref="D19:D25">B19-C19</f>
        <v>-15796.82</v>
      </c>
    </row>
    <row r="20" spans="1:4" ht="12.75">
      <c r="A20" s="9" t="s">
        <v>52</v>
      </c>
      <c r="B20" s="8">
        <v>25582.87</v>
      </c>
      <c r="C20" s="13">
        <v>46971.75</v>
      </c>
      <c r="D20" s="8">
        <f t="shared" si="0"/>
        <v>-21388.88</v>
      </c>
    </row>
    <row r="21" spans="1:4" ht="12.75">
      <c r="A21" s="9" t="s">
        <v>53</v>
      </c>
      <c r="B21" s="8">
        <v>25582.87</v>
      </c>
      <c r="C21" s="13">
        <v>34079.37</v>
      </c>
      <c r="D21" s="8">
        <f t="shared" si="0"/>
        <v>-8496.500000000004</v>
      </c>
    </row>
    <row r="22" spans="1:4" ht="12.75">
      <c r="A22" s="9" t="s">
        <v>54</v>
      </c>
      <c r="B22" s="8">
        <v>25583.03</v>
      </c>
      <c r="C22" s="13">
        <v>21931.86</v>
      </c>
      <c r="D22" s="8">
        <f t="shared" si="0"/>
        <v>3651.1699999999983</v>
      </c>
    </row>
    <row r="23" spans="1:4" ht="12.75">
      <c r="A23" s="9" t="s">
        <v>55</v>
      </c>
      <c r="B23" s="8">
        <v>25583.03</v>
      </c>
      <c r="C23" s="13">
        <v>25977.9</v>
      </c>
      <c r="D23" s="13">
        <f t="shared" si="0"/>
        <v>-394.8700000000026</v>
      </c>
    </row>
    <row r="24" spans="1:4" ht="12.75">
      <c r="A24" s="9" t="s">
        <v>56</v>
      </c>
      <c r="B24" s="8">
        <v>25583.03</v>
      </c>
      <c r="C24" s="13">
        <v>21901.3</v>
      </c>
      <c r="D24" s="13">
        <f t="shared" si="0"/>
        <v>3681.7299999999996</v>
      </c>
    </row>
    <row r="25" spans="1:4" ht="12.75">
      <c r="A25" s="9" t="s">
        <v>57</v>
      </c>
      <c r="B25" s="8">
        <v>25583.03</v>
      </c>
      <c r="C25" s="13">
        <v>23599.45</v>
      </c>
      <c r="D25" s="13">
        <f t="shared" si="0"/>
        <v>1983.579999999998</v>
      </c>
    </row>
    <row r="26" spans="1:4" ht="12.75">
      <c r="A26" s="7" t="s">
        <v>58</v>
      </c>
      <c r="B26" s="8">
        <f>SUM(B27:B38)</f>
        <v>303.47999999999996</v>
      </c>
      <c r="C26" s="8">
        <f>SUM(C27:C38)</f>
        <v>230.48</v>
      </c>
      <c r="D26" s="8">
        <f>SUM(D27:D38)</f>
        <v>72.99999999999999</v>
      </c>
    </row>
    <row r="27" spans="1:4" ht="12.75">
      <c r="A27" s="9" t="s">
        <v>59</v>
      </c>
      <c r="B27" s="8">
        <v>25.29</v>
      </c>
      <c r="C27" s="8">
        <v>11.5</v>
      </c>
      <c r="D27" s="8">
        <f aca="true" t="shared" si="1" ref="D27:D38">B27-C27</f>
        <v>13.79</v>
      </c>
    </row>
    <row r="28" spans="1:4" ht="12.75">
      <c r="A28" s="9" t="s">
        <v>47</v>
      </c>
      <c r="B28" s="8">
        <v>25.29</v>
      </c>
      <c r="C28" s="13">
        <v>22.23</v>
      </c>
      <c r="D28" s="8">
        <f t="shared" si="1"/>
        <v>3.0599999999999987</v>
      </c>
    </row>
    <row r="29" spans="1:4" ht="12.75">
      <c r="A29" s="9" t="s">
        <v>48</v>
      </c>
      <c r="B29" s="8">
        <v>25.29</v>
      </c>
      <c r="C29" s="13">
        <v>19.44</v>
      </c>
      <c r="D29" s="8">
        <f t="shared" si="1"/>
        <v>5.849999999999998</v>
      </c>
    </row>
    <row r="30" spans="1:4" ht="12.75">
      <c r="A30" s="9" t="s">
        <v>49</v>
      </c>
      <c r="B30" s="8">
        <v>25.29</v>
      </c>
      <c r="C30" s="13">
        <v>18.18</v>
      </c>
      <c r="D30" s="8">
        <f t="shared" si="1"/>
        <v>7.109999999999999</v>
      </c>
    </row>
    <row r="31" spans="1:4" ht="12.75">
      <c r="A31" s="9" t="s">
        <v>50</v>
      </c>
      <c r="B31" s="8">
        <v>25.29</v>
      </c>
      <c r="C31" s="13">
        <v>17.91</v>
      </c>
      <c r="D31" s="8">
        <f t="shared" si="1"/>
        <v>7.379999999999999</v>
      </c>
    </row>
    <row r="32" spans="1:4" ht="12.75">
      <c r="A32" s="9" t="s">
        <v>51</v>
      </c>
      <c r="B32" s="8">
        <v>25.29</v>
      </c>
      <c r="C32" s="13">
        <v>20.97</v>
      </c>
      <c r="D32" s="8">
        <f t="shared" si="1"/>
        <v>4.32</v>
      </c>
    </row>
    <row r="33" spans="1:4" ht="12.75">
      <c r="A33" s="9" t="s">
        <v>52</v>
      </c>
      <c r="B33" s="8">
        <v>25.29</v>
      </c>
      <c r="C33" s="13">
        <v>20.93</v>
      </c>
      <c r="D33" s="8">
        <f t="shared" si="1"/>
        <v>4.359999999999999</v>
      </c>
    </row>
    <row r="34" spans="1:4" ht="12.75">
      <c r="A34" s="9" t="s">
        <v>53</v>
      </c>
      <c r="B34" s="8">
        <v>25.29</v>
      </c>
      <c r="C34" s="13">
        <v>14.42</v>
      </c>
      <c r="D34" s="8">
        <f t="shared" si="1"/>
        <v>10.87</v>
      </c>
    </row>
    <row r="35" spans="1:4" ht="12.75">
      <c r="A35" s="9" t="s">
        <v>54</v>
      </c>
      <c r="B35" s="8">
        <v>25.29</v>
      </c>
      <c r="C35" s="13">
        <v>18.85</v>
      </c>
      <c r="D35" s="8">
        <f t="shared" si="1"/>
        <v>6.439999999999998</v>
      </c>
    </row>
    <row r="36" spans="1:4" ht="12.75">
      <c r="A36" s="9" t="s">
        <v>55</v>
      </c>
      <c r="B36" s="8">
        <v>25.29</v>
      </c>
      <c r="C36" s="13">
        <v>27.02</v>
      </c>
      <c r="D36" s="13">
        <f t="shared" si="1"/>
        <v>-1.7300000000000004</v>
      </c>
    </row>
    <row r="37" spans="1:4" ht="12.75">
      <c r="A37" s="9" t="s">
        <v>56</v>
      </c>
      <c r="B37" s="8">
        <v>25.29</v>
      </c>
      <c r="C37" s="13">
        <v>14.34</v>
      </c>
      <c r="D37" s="13">
        <f t="shared" si="1"/>
        <v>10.95</v>
      </c>
    </row>
    <row r="38" spans="1:4" ht="12.75">
      <c r="A38" s="9" t="s">
        <v>57</v>
      </c>
      <c r="B38" s="8">
        <v>25.29</v>
      </c>
      <c r="C38" s="13">
        <v>24.69</v>
      </c>
      <c r="D38" s="13">
        <f t="shared" si="1"/>
        <v>0.5999999999999979</v>
      </c>
    </row>
    <row r="39" spans="1:4" ht="12.75">
      <c r="A39" s="9" t="s">
        <v>60</v>
      </c>
      <c r="B39" s="8">
        <f>B13+B26</f>
        <v>327647.44000000006</v>
      </c>
      <c r="C39" s="8">
        <f>C13+C26</f>
        <v>342939.87</v>
      </c>
      <c r="D39" s="8">
        <f>D13+D26</f>
        <v>-15292.430000000018</v>
      </c>
    </row>
    <row r="41" spans="1:4" ht="12.75">
      <c r="A41" t="s">
        <v>61</v>
      </c>
      <c r="D41" s="12">
        <f>D39</f>
        <v>-15292.430000000018</v>
      </c>
    </row>
    <row r="43" spans="1:4" ht="12.75">
      <c r="A43" s="11" t="s">
        <v>62</v>
      </c>
      <c r="D43" s="12">
        <f>D44+D45</f>
        <v>24911.136000000002</v>
      </c>
    </row>
    <row r="44" spans="1:4" ht="12.75">
      <c r="A44" s="11" t="s">
        <v>63</v>
      </c>
      <c r="D44" s="12">
        <f>(1.1*12*D5)</f>
        <v>20449.440000000002</v>
      </c>
    </row>
    <row r="45" spans="1:4" ht="12.75">
      <c r="A45" s="11" t="s">
        <v>64</v>
      </c>
      <c r="D45" s="12">
        <f>(0.24*12*D5)</f>
        <v>4461.696</v>
      </c>
    </row>
    <row r="46" spans="1:4" ht="12.75">
      <c r="A46" s="11" t="s">
        <v>65</v>
      </c>
      <c r="D46" s="12">
        <v>0</v>
      </c>
    </row>
    <row r="47" spans="1:4" ht="12.75">
      <c r="A47" s="11" t="s">
        <v>109</v>
      </c>
      <c r="D47" s="12">
        <f>515.6*0.22*4+(515.6*2.5)</f>
        <v>1742.728</v>
      </c>
    </row>
    <row r="48" spans="1:4" ht="12.75">
      <c r="A48" s="11" t="s">
        <v>121</v>
      </c>
      <c r="D48" s="12">
        <f>(2.2*6*D5)</f>
        <v>20449.440000000002</v>
      </c>
    </row>
    <row r="49" spans="1:4" ht="12.75">
      <c r="A49" s="11" t="s">
        <v>66</v>
      </c>
      <c r="D49" s="12">
        <v>0</v>
      </c>
    </row>
    <row r="50" spans="1:4" ht="12.75">
      <c r="A50" s="11" t="s">
        <v>108</v>
      </c>
      <c r="D50" s="12">
        <f>(0.72*3*D5)</f>
        <v>3346.2720000000004</v>
      </c>
    </row>
    <row r="51" spans="1:4" ht="12.75">
      <c r="A51" s="11" t="s">
        <v>67</v>
      </c>
      <c r="D51" s="12">
        <f>(1.2*12*D5)</f>
        <v>22308.48</v>
      </c>
    </row>
    <row r="52" spans="1:4" ht="12.75">
      <c r="A52" s="11" t="s">
        <v>68</v>
      </c>
      <c r="D52" s="12">
        <f>(4.1*12*D5)</f>
        <v>76220.64</v>
      </c>
    </row>
    <row r="53" spans="1:4" ht="12.75">
      <c r="A53" s="11" t="s">
        <v>69</v>
      </c>
      <c r="D53" s="12">
        <f>(0.24*12*D5)</f>
        <v>4461.696</v>
      </c>
    </row>
    <row r="54" spans="1:4" ht="12.75">
      <c r="A54" s="11" t="s">
        <v>110</v>
      </c>
      <c r="D54" s="12">
        <f>(3.2*12*D5)</f>
        <v>59489.28000000001</v>
      </c>
    </row>
    <row r="55" spans="1:4" ht="12.75">
      <c r="A55" s="11" t="s">
        <v>70</v>
      </c>
      <c r="D55" s="12">
        <f>2.25*12*D6</f>
        <v>729</v>
      </c>
    </row>
    <row r="56" spans="1:4" ht="12.75">
      <c r="A56" s="11" t="s">
        <v>71</v>
      </c>
      <c r="D56" s="12">
        <v>17459</v>
      </c>
    </row>
    <row r="57" spans="1:4" ht="12.75">
      <c r="A57" s="11" t="s">
        <v>72</v>
      </c>
      <c r="D57" s="12">
        <f>(0.75*12*D5)</f>
        <v>13942.800000000001</v>
      </c>
    </row>
    <row r="58" spans="1:4" ht="12.75">
      <c r="A58" s="14" t="s">
        <v>96</v>
      </c>
      <c r="D58" s="12">
        <v>0</v>
      </c>
    </row>
    <row r="59" spans="1:4" ht="12.75">
      <c r="A59" s="11"/>
      <c r="D59" s="12"/>
    </row>
    <row r="60" spans="1:4" ht="12.75">
      <c r="A60" s="11" t="s">
        <v>73</v>
      </c>
      <c r="D60" s="12">
        <f>D43+D46+D47+D48+D49+D50+D51+D52+D53+D54+D55+D56+D57+D58</f>
        <v>245060.472</v>
      </c>
    </row>
    <row r="61" spans="1:4" ht="12.75">
      <c r="A61" s="11"/>
      <c r="D61" s="12"/>
    </row>
    <row r="62" spans="1:4" ht="12.75">
      <c r="A62" t="s">
        <v>103</v>
      </c>
      <c r="D62" s="12">
        <f>C39-D60</f>
        <v>97879.39799999999</v>
      </c>
    </row>
    <row r="64" spans="1:2" ht="12.75" hidden="1">
      <c r="A64">
        <v>4656</v>
      </c>
      <c r="B64" t="s">
        <v>179</v>
      </c>
    </row>
    <row r="65" spans="1:2" ht="12.75" hidden="1">
      <c r="A65">
        <v>752</v>
      </c>
      <c r="B65" t="s">
        <v>27</v>
      </c>
    </row>
    <row r="66" spans="1:2" ht="12.75" hidden="1">
      <c r="A66">
        <v>12051</v>
      </c>
      <c r="B66" t="s">
        <v>153</v>
      </c>
    </row>
    <row r="67" ht="12.75" hidden="1">
      <c r="A67">
        <f>SUM(A64:A66)</f>
        <v>17459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2"/>
  </sheetPr>
  <dimension ref="A1:G74"/>
  <sheetViews>
    <sheetView zoomScalePageLayoutView="0" workbookViewId="0" topLeftCell="A34">
      <selection activeCell="A64" sqref="A64:IV74"/>
    </sheetView>
  </sheetViews>
  <sheetFormatPr defaultColWidth="9.140625" defaultRowHeight="12.75"/>
  <cols>
    <col min="2" max="2" width="12.421875" style="0" bestFit="1" customWidth="1"/>
    <col min="3" max="3" width="16.8515625" style="0" bestFit="1" customWidth="1"/>
    <col min="4" max="4" width="12.00390625" style="0" bestFit="1" customWidth="1"/>
  </cols>
  <sheetData>
    <row r="1" spans="1:4" ht="12.75">
      <c r="A1" t="s">
        <v>2</v>
      </c>
      <c r="B1" s="1"/>
      <c r="C1" s="1"/>
      <c r="D1" s="1"/>
    </row>
    <row r="2" ht="12.75">
      <c r="A2" t="s">
        <v>205</v>
      </c>
    </row>
    <row r="3" spans="1:7" ht="12.75">
      <c r="A3" s="1" t="s">
        <v>34</v>
      </c>
      <c r="B3" s="2" t="s">
        <v>35</v>
      </c>
      <c r="C3" s="1" t="s">
        <v>88</v>
      </c>
      <c r="D3" s="1"/>
      <c r="E3" s="1" t="s">
        <v>36</v>
      </c>
      <c r="F3" s="3">
        <v>134</v>
      </c>
      <c r="G3" s="21">
        <v>2018</v>
      </c>
    </row>
    <row r="5" spans="1:5" ht="12.75">
      <c r="A5" t="s">
        <v>37</v>
      </c>
      <c r="D5" s="4">
        <v>1573.7</v>
      </c>
      <c r="E5" s="5" t="s">
        <v>74</v>
      </c>
    </row>
    <row r="6" spans="1:5" ht="12.75">
      <c r="A6" t="s">
        <v>38</v>
      </c>
      <c r="D6" s="4">
        <v>27</v>
      </c>
      <c r="E6" s="5"/>
    </row>
    <row r="7" spans="1:5" ht="12.75">
      <c r="A7" t="s">
        <v>39</v>
      </c>
      <c r="D7" s="4">
        <v>67</v>
      </c>
      <c r="E7" s="5" t="s">
        <v>40</v>
      </c>
    </row>
    <row r="8" spans="1:5" ht="12.75">
      <c r="A8" t="s">
        <v>41</v>
      </c>
      <c r="D8" s="4">
        <v>144.6</v>
      </c>
      <c r="E8" s="5" t="s">
        <v>74</v>
      </c>
    </row>
    <row r="9" spans="1:5" ht="12.75">
      <c r="A9" t="s">
        <v>42</v>
      </c>
      <c r="D9" s="4">
        <v>711</v>
      </c>
      <c r="E9" s="5" t="s">
        <v>74</v>
      </c>
    </row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410871.7200000001</v>
      </c>
      <c r="C13" s="8">
        <f>SUM(C14:C25)</f>
        <v>407488.00000000006</v>
      </c>
      <c r="D13" s="8">
        <f>SUM(D14:D25)</f>
        <v>3383.7199999999757</v>
      </c>
    </row>
    <row r="14" spans="1:4" ht="12.75">
      <c r="A14" s="9" t="s">
        <v>59</v>
      </c>
      <c r="B14" s="8">
        <v>34596.56</v>
      </c>
      <c r="C14" s="8">
        <v>28511.14</v>
      </c>
      <c r="D14" s="8">
        <f aca="true" t="shared" si="0" ref="D14:D25">B14-C14</f>
        <v>6085.419999999998</v>
      </c>
    </row>
    <row r="15" spans="1:4" ht="12.75">
      <c r="A15" s="9" t="s">
        <v>47</v>
      </c>
      <c r="B15" s="8">
        <v>34596.56</v>
      </c>
      <c r="C15" s="13">
        <v>30382.01</v>
      </c>
      <c r="D15" s="8">
        <f t="shared" si="0"/>
        <v>4214.549999999999</v>
      </c>
    </row>
    <row r="16" spans="1:4" ht="12.75">
      <c r="A16" s="9" t="s">
        <v>48</v>
      </c>
      <c r="B16" s="8">
        <v>34596.56</v>
      </c>
      <c r="C16" s="13">
        <v>29013.74</v>
      </c>
      <c r="D16" s="8">
        <f t="shared" si="0"/>
        <v>5582.819999999996</v>
      </c>
    </row>
    <row r="17" spans="1:4" ht="12.75">
      <c r="A17" s="9" t="s">
        <v>49</v>
      </c>
      <c r="B17" s="8">
        <v>34596.56</v>
      </c>
      <c r="C17" s="13">
        <v>44456.45</v>
      </c>
      <c r="D17" s="8">
        <f t="shared" si="0"/>
        <v>-9859.89</v>
      </c>
    </row>
    <row r="18" spans="1:4" ht="12.75">
      <c r="A18" s="9" t="s">
        <v>50</v>
      </c>
      <c r="B18" s="8">
        <v>34596.56</v>
      </c>
      <c r="C18" s="13">
        <v>35086.78</v>
      </c>
      <c r="D18" s="8">
        <f t="shared" si="0"/>
        <v>-490.22000000000116</v>
      </c>
    </row>
    <row r="19" spans="1:4" ht="12.75">
      <c r="A19" s="9" t="s">
        <v>51</v>
      </c>
      <c r="B19" s="8">
        <v>36099.1</v>
      </c>
      <c r="C19" s="13">
        <v>34550.62</v>
      </c>
      <c r="D19" s="8">
        <f t="shared" si="0"/>
        <v>1548.479999999996</v>
      </c>
    </row>
    <row r="20" spans="1:4" ht="12.75">
      <c r="A20" s="9" t="s">
        <v>52</v>
      </c>
      <c r="B20" s="8">
        <v>32027.87</v>
      </c>
      <c r="C20" s="13">
        <v>45040.32</v>
      </c>
      <c r="D20" s="8">
        <f t="shared" si="0"/>
        <v>-13012.45</v>
      </c>
    </row>
    <row r="21" spans="1:4" ht="12.75">
      <c r="A21" s="9" t="s">
        <v>53</v>
      </c>
      <c r="B21" s="8">
        <v>32027.87</v>
      </c>
      <c r="C21" s="13">
        <v>33291.13</v>
      </c>
      <c r="D21" s="8">
        <f t="shared" si="0"/>
        <v>-1263.2599999999984</v>
      </c>
    </row>
    <row r="22" spans="1:4" ht="12.75">
      <c r="A22" s="9" t="s">
        <v>54</v>
      </c>
      <c r="B22" s="8">
        <v>34433.52</v>
      </c>
      <c r="C22" s="13">
        <v>30724.09</v>
      </c>
      <c r="D22" s="8">
        <f t="shared" si="0"/>
        <v>3709.4299999999967</v>
      </c>
    </row>
    <row r="23" spans="1:4" ht="12.75">
      <c r="A23" s="9" t="s">
        <v>55</v>
      </c>
      <c r="B23" s="8">
        <v>34433.52</v>
      </c>
      <c r="C23" s="13">
        <v>35230.25</v>
      </c>
      <c r="D23" s="13">
        <f t="shared" si="0"/>
        <v>-796.7300000000032</v>
      </c>
    </row>
    <row r="24" spans="1:4" ht="12.75">
      <c r="A24" s="9" t="s">
        <v>56</v>
      </c>
      <c r="B24" s="8">
        <v>34433.52</v>
      </c>
      <c r="C24" s="13">
        <v>31931.58</v>
      </c>
      <c r="D24" s="13">
        <f t="shared" si="0"/>
        <v>2501.939999999995</v>
      </c>
    </row>
    <row r="25" spans="1:4" ht="12.75">
      <c r="A25" s="9" t="s">
        <v>57</v>
      </c>
      <c r="B25" s="8">
        <v>34433.52</v>
      </c>
      <c r="C25" s="13">
        <v>29269.89</v>
      </c>
      <c r="D25" s="13">
        <f t="shared" si="0"/>
        <v>5163.629999999997</v>
      </c>
    </row>
    <row r="26" spans="1:4" ht="12.75">
      <c r="A26" s="7" t="s">
        <v>58</v>
      </c>
      <c r="B26" s="8">
        <f>SUM(B27:B38)</f>
        <v>183.35999999999999</v>
      </c>
      <c r="C26" s="8">
        <f>SUM(C27:C38)</f>
        <v>167.01</v>
      </c>
      <c r="D26" s="8">
        <f>SUM(D27:D38)</f>
        <v>16.349999999999994</v>
      </c>
    </row>
    <row r="27" spans="1:4" ht="12.75">
      <c r="A27" s="9" t="s">
        <v>59</v>
      </c>
      <c r="B27" s="8">
        <v>15.28</v>
      </c>
      <c r="C27" s="8">
        <v>7.03</v>
      </c>
      <c r="D27" s="8">
        <f aca="true" t="shared" si="1" ref="D27:D34">B27-C27</f>
        <v>8.25</v>
      </c>
    </row>
    <row r="28" spans="1:4" ht="12.75">
      <c r="A28" s="9" t="s">
        <v>47</v>
      </c>
      <c r="B28" s="8">
        <v>15.28</v>
      </c>
      <c r="C28" s="13">
        <v>7.43</v>
      </c>
      <c r="D28" s="8">
        <f t="shared" si="1"/>
        <v>7.85</v>
      </c>
    </row>
    <row r="29" spans="1:4" ht="12.75">
      <c r="A29" s="9" t="s">
        <v>48</v>
      </c>
      <c r="B29" s="8">
        <v>15.28</v>
      </c>
      <c r="C29" s="13">
        <v>7.22</v>
      </c>
      <c r="D29" s="8">
        <f t="shared" si="1"/>
        <v>8.059999999999999</v>
      </c>
    </row>
    <row r="30" spans="1:4" ht="12.75">
      <c r="A30" s="9" t="s">
        <v>49</v>
      </c>
      <c r="B30" s="8">
        <v>15.28</v>
      </c>
      <c r="C30" s="13">
        <v>18.97</v>
      </c>
      <c r="D30" s="8">
        <f t="shared" si="1"/>
        <v>-3.6899999999999995</v>
      </c>
    </row>
    <row r="31" spans="1:4" ht="12.75">
      <c r="A31" s="9" t="s">
        <v>50</v>
      </c>
      <c r="B31" s="8">
        <v>15.28</v>
      </c>
      <c r="C31" s="13">
        <v>25.4</v>
      </c>
      <c r="D31" s="8">
        <f t="shared" si="1"/>
        <v>-10.12</v>
      </c>
    </row>
    <row r="32" spans="1:4" ht="12.75">
      <c r="A32" s="9" t="s">
        <v>51</v>
      </c>
      <c r="B32" s="8">
        <v>15.28</v>
      </c>
      <c r="C32" s="13">
        <v>16.63</v>
      </c>
      <c r="D32" s="8">
        <f t="shared" si="1"/>
        <v>-1.3499999999999996</v>
      </c>
    </row>
    <row r="33" spans="1:4" ht="12.75">
      <c r="A33" s="9" t="s">
        <v>52</v>
      </c>
      <c r="B33" s="8">
        <v>15.28</v>
      </c>
      <c r="C33" s="13">
        <v>7.22</v>
      </c>
      <c r="D33" s="8">
        <f t="shared" si="1"/>
        <v>8.059999999999999</v>
      </c>
    </row>
    <row r="34" spans="1:4" ht="12.75">
      <c r="A34" s="9" t="s">
        <v>53</v>
      </c>
      <c r="B34" s="8">
        <v>15.28</v>
      </c>
      <c r="C34" s="13">
        <v>21.22</v>
      </c>
      <c r="D34" s="8">
        <f t="shared" si="1"/>
        <v>-5.9399999999999995</v>
      </c>
    </row>
    <row r="35" spans="1:4" ht="12.75">
      <c r="A35" s="9" t="s">
        <v>54</v>
      </c>
      <c r="B35" s="8">
        <v>15.28</v>
      </c>
      <c r="C35" s="13">
        <v>14.01</v>
      </c>
      <c r="D35" s="8">
        <f>B35-C35</f>
        <v>1.2699999999999996</v>
      </c>
    </row>
    <row r="36" spans="1:4" ht="12.75">
      <c r="A36" s="9" t="s">
        <v>55</v>
      </c>
      <c r="B36" s="8">
        <v>15.28</v>
      </c>
      <c r="C36" s="13">
        <v>13.98</v>
      </c>
      <c r="D36" s="13">
        <f>B36-C36</f>
        <v>1.299999999999999</v>
      </c>
    </row>
    <row r="37" spans="1:4" ht="12.75">
      <c r="A37" s="9" t="s">
        <v>56</v>
      </c>
      <c r="B37" s="8">
        <v>15.28</v>
      </c>
      <c r="C37" s="13">
        <v>13.96</v>
      </c>
      <c r="D37" s="13">
        <f>B37-C37</f>
        <v>1.3199999999999985</v>
      </c>
    </row>
    <row r="38" spans="1:4" ht="12.75">
      <c r="A38" s="9" t="s">
        <v>57</v>
      </c>
      <c r="B38" s="8">
        <v>15.28</v>
      </c>
      <c r="C38" s="13">
        <v>13.94</v>
      </c>
      <c r="D38" s="13">
        <f>B38-C38</f>
        <v>1.3399999999999999</v>
      </c>
    </row>
    <row r="39" spans="1:4" ht="12.75">
      <c r="A39" s="9" t="s">
        <v>60</v>
      </c>
      <c r="B39" s="8">
        <f>B13+B26</f>
        <v>411055.0800000001</v>
      </c>
      <c r="C39" s="8">
        <f>C13+C26</f>
        <v>407655.01000000007</v>
      </c>
      <c r="D39" s="8">
        <f>D13+D26</f>
        <v>3400.0699999999756</v>
      </c>
    </row>
    <row r="41" spans="1:4" ht="12.75">
      <c r="A41" t="s">
        <v>61</v>
      </c>
      <c r="D41" s="12">
        <f>D39</f>
        <v>3400.0699999999756</v>
      </c>
    </row>
    <row r="43" spans="1:4" ht="12.75">
      <c r="A43" s="11" t="s">
        <v>62</v>
      </c>
      <c r="D43" s="12">
        <f>D44+D45</f>
        <v>31914.636000000002</v>
      </c>
    </row>
    <row r="44" spans="1:4" ht="12.75">
      <c r="A44" s="11" t="s">
        <v>63</v>
      </c>
      <c r="D44" s="12">
        <f>(1.33*8*D5)+(1.69*4*D5)</f>
        <v>27382.38</v>
      </c>
    </row>
    <row r="45" spans="1:4" ht="12.75">
      <c r="A45" s="11" t="s">
        <v>64</v>
      </c>
      <c r="D45" s="12">
        <f>(0.24*12*D5)</f>
        <v>4532.256</v>
      </c>
    </row>
    <row r="46" spans="1:4" ht="12.75">
      <c r="A46" s="11" t="s">
        <v>65</v>
      </c>
      <c r="D46" s="12">
        <v>0</v>
      </c>
    </row>
    <row r="47" spans="1:4" ht="12.75">
      <c r="A47" s="11" t="s">
        <v>109</v>
      </c>
      <c r="D47" s="12">
        <f>1088*0.22*4+(1088*2.5)</f>
        <v>3677.44</v>
      </c>
    </row>
    <row r="48" spans="1:4" ht="12.75">
      <c r="A48" s="11" t="s">
        <v>121</v>
      </c>
      <c r="D48" s="12">
        <f>(2.66*6*D5)</f>
        <v>25116.252</v>
      </c>
    </row>
    <row r="49" spans="1:4" ht="12.75">
      <c r="A49" s="11" t="s">
        <v>66</v>
      </c>
      <c r="D49" s="12">
        <v>0</v>
      </c>
    </row>
    <row r="50" spans="1:4" ht="12.75">
      <c r="A50" s="11" t="s">
        <v>108</v>
      </c>
      <c r="D50" s="12">
        <f>(0.72*2*D5)+(0.84*1*D5)</f>
        <v>3588.036</v>
      </c>
    </row>
    <row r="51" spans="1:4" ht="12.75">
      <c r="A51" s="11" t="s">
        <v>67</v>
      </c>
      <c r="D51" s="12">
        <f>(1.45*8*D5)+(2.12*4*D5)</f>
        <v>31599.896</v>
      </c>
    </row>
    <row r="52" spans="1:4" ht="12.75">
      <c r="A52" s="11" t="s">
        <v>68</v>
      </c>
      <c r="D52" s="12">
        <f>(5.11*8*D5)+(3.84*4*D5)</f>
        <v>88504.888</v>
      </c>
    </row>
    <row r="53" spans="1:4" ht="12.75">
      <c r="A53" s="11" t="s">
        <v>69</v>
      </c>
      <c r="D53" s="12">
        <f>(0.29*8*D5)+(0.3*4*D5)</f>
        <v>5539.424</v>
      </c>
    </row>
    <row r="54" spans="1:4" ht="12.75">
      <c r="A54" s="11" t="s">
        <v>110</v>
      </c>
      <c r="D54" s="12">
        <f>(3.87*8*D5)+(2.81*4*D5)</f>
        <v>66410.14</v>
      </c>
    </row>
    <row r="55" spans="1:4" ht="12.75">
      <c r="A55" s="11" t="s">
        <v>70</v>
      </c>
      <c r="D55" s="12">
        <f>2.25*12*D6</f>
        <v>729</v>
      </c>
    </row>
    <row r="56" spans="1:4" ht="12.75">
      <c r="A56" s="11" t="s">
        <v>71</v>
      </c>
      <c r="D56" s="12">
        <v>39379</v>
      </c>
    </row>
    <row r="57" spans="1:4" ht="12.75">
      <c r="A57" s="11" t="s">
        <v>72</v>
      </c>
      <c r="D57" s="12">
        <f>(0.91*8*D5)+(3.68*4*D5)</f>
        <v>34621.4</v>
      </c>
    </row>
    <row r="58" spans="1:4" ht="12.75">
      <c r="A58" s="14" t="s">
        <v>96</v>
      </c>
      <c r="D58" s="12">
        <v>0</v>
      </c>
    </row>
    <row r="59" spans="1:4" ht="12.75">
      <c r="A59" s="11"/>
      <c r="D59" s="12"/>
    </row>
    <row r="60" spans="1:4" ht="12.75">
      <c r="A60" s="11" t="s">
        <v>73</v>
      </c>
      <c r="D60" s="12">
        <f>D43+D46+D47+D48+D49+D50+D51+D52+D53+D54+D55+D56+D57+D58</f>
        <v>331080.112</v>
      </c>
    </row>
    <row r="61" spans="1:4" ht="12.75">
      <c r="A61" s="11"/>
      <c r="D61" s="12"/>
    </row>
    <row r="62" spans="1:4" ht="12.75">
      <c r="A62" t="s">
        <v>103</v>
      </c>
      <c r="D62" s="12">
        <f>C39-D60</f>
        <v>76574.89800000004</v>
      </c>
    </row>
    <row r="64" spans="1:2" ht="12.75" hidden="1">
      <c r="A64">
        <v>2407</v>
      </c>
      <c r="B64" t="s">
        <v>138</v>
      </c>
    </row>
    <row r="65" spans="1:2" ht="12.75" hidden="1">
      <c r="A65">
        <v>1459</v>
      </c>
      <c r="B65" t="s">
        <v>27</v>
      </c>
    </row>
    <row r="66" spans="1:2" ht="12.75" hidden="1">
      <c r="A66">
        <v>550</v>
      </c>
      <c r="B66" t="s">
        <v>27</v>
      </c>
    </row>
    <row r="67" spans="1:2" ht="12.75" hidden="1">
      <c r="A67">
        <v>2091</v>
      </c>
      <c r="B67" t="s">
        <v>119</v>
      </c>
    </row>
    <row r="68" spans="1:2" ht="12.75" hidden="1">
      <c r="A68">
        <v>1751</v>
      </c>
      <c r="B68" t="s">
        <v>127</v>
      </c>
    </row>
    <row r="69" spans="1:2" ht="12.75" hidden="1">
      <c r="A69">
        <v>2523</v>
      </c>
      <c r="B69" t="s">
        <v>27</v>
      </c>
    </row>
    <row r="70" spans="1:2" ht="12.75" hidden="1">
      <c r="A70">
        <v>611</v>
      </c>
      <c r="B70" t="s">
        <v>157</v>
      </c>
    </row>
    <row r="71" spans="1:2" ht="12.75" hidden="1">
      <c r="A71">
        <v>9535</v>
      </c>
      <c r="B71" t="s">
        <v>20</v>
      </c>
    </row>
    <row r="72" spans="1:2" ht="12.75" hidden="1">
      <c r="A72">
        <v>2933</v>
      </c>
      <c r="B72" t="s">
        <v>127</v>
      </c>
    </row>
    <row r="73" spans="1:2" ht="12.75" hidden="1">
      <c r="A73">
        <v>15519</v>
      </c>
      <c r="B73" t="s">
        <v>212</v>
      </c>
    </row>
    <row r="74" ht="12.75" hidden="1">
      <c r="A74">
        <f>SUM(A64:A73)</f>
        <v>39379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2"/>
  </sheetPr>
  <dimension ref="A1:G73"/>
  <sheetViews>
    <sheetView zoomScalePageLayoutView="0" workbookViewId="0" topLeftCell="A31">
      <selection activeCell="A64" sqref="A64:IV73"/>
    </sheetView>
  </sheetViews>
  <sheetFormatPr defaultColWidth="9.140625" defaultRowHeight="12.75"/>
  <cols>
    <col min="2" max="2" width="12.421875" style="0" bestFit="1" customWidth="1"/>
    <col min="3" max="3" width="16.8515625" style="0" bestFit="1" customWidth="1"/>
    <col min="4" max="4" width="12.28125" style="0" bestFit="1" customWidth="1"/>
    <col min="6" max="6" width="4.00390625" style="0" bestFit="1" customWidth="1"/>
  </cols>
  <sheetData>
    <row r="1" ht="12.75">
      <c r="A1" t="s">
        <v>2</v>
      </c>
    </row>
    <row r="2" ht="12.75">
      <c r="A2" t="s">
        <v>205</v>
      </c>
    </row>
    <row r="3" spans="1:7" ht="12.75">
      <c r="A3" s="1" t="s">
        <v>34</v>
      </c>
      <c r="B3" s="2" t="s">
        <v>35</v>
      </c>
      <c r="C3" s="1" t="s">
        <v>88</v>
      </c>
      <c r="D3" s="1"/>
      <c r="E3" s="1" t="s">
        <v>36</v>
      </c>
      <c r="F3" s="3">
        <v>136</v>
      </c>
      <c r="G3" s="21">
        <v>2018</v>
      </c>
    </row>
    <row r="5" spans="1:5" ht="12.75">
      <c r="A5" t="s">
        <v>37</v>
      </c>
      <c r="D5" s="4">
        <v>2114</v>
      </c>
      <c r="E5" s="5" t="s">
        <v>74</v>
      </c>
    </row>
    <row r="6" spans="1:5" ht="12.75">
      <c r="A6" t="s">
        <v>38</v>
      </c>
      <c r="D6" s="4">
        <v>45</v>
      </c>
      <c r="E6" s="5"/>
    </row>
    <row r="7" spans="1:5" ht="12.75">
      <c r="A7" t="s">
        <v>39</v>
      </c>
      <c r="D7" s="4">
        <v>95</v>
      </c>
      <c r="E7" s="5" t="s">
        <v>40</v>
      </c>
    </row>
    <row r="8" spans="1:5" ht="12.75">
      <c r="A8" t="s">
        <v>41</v>
      </c>
      <c r="D8" s="4">
        <v>245.5</v>
      </c>
      <c r="E8" s="5" t="s">
        <v>74</v>
      </c>
    </row>
    <row r="9" spans="1:5" ht="12.75">
      <c r="A9" t="s">
        <v>42</v>
      </c>
      <c r="D9" s="4">
        <v>1734</v>
      </c>
      <c r="E9" s="5" t="s">
        <v>74</v>
      </c>
    </row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551603.5000000001</v>
      </c>
      <c r="C13" s="8">
        <f>SUM(C14:C25)</f>
        <v>513448.9</v>
      </c>
      <c r="D13" s="8">
        <f>SUM(D14:D25)</f>
        <v>38154.600000000035</v>
      </c>
    </row>
    <row r="14" spans="1:4" ht="12.75">
      <c r="A14" s="9" t="s">
        <v>59</v>
      </c>
      <c r="B14" s="8">
        <v>47348.23</v>
      </c>
      <c r="C14" s="8">
        <v>42449.08</v>
      </c>
      <c r="D14" s="8">
        <f aca="true" t="shared" si="0" ref="D14:D25">B14-C14</f>
        <v>4899.1500000000015</v>
      </c>
    </row>
    <row r="15" spans="1:4" ht="12.75">
      <c r="A15" s="9" t="s">
        <v>47</v>
      </c>
      <c r="B15" s="8">
        <v>47348.23</v>
      </c>
      <c r="C15" s="13">
        <v>45293.38</v>
      </c>
      <c r="D15" s="8">
        <f t="shared" si="0"/>
        <v>2054.850000000006</v>
      </c>
    </row>
    <row r="16" spans="1:4" ht="12.75">
      <c r="A16" s="9" t="s">
        <v>48</v>
      </c>
      <c r="B16" s="8">
        <v>47348.23</v>
      </c>
      <c r="C16" s="13">
        <v>43683.55</v>
      </c>
      <c r="D16" s="8">
        <f t="shared" si="0"/>
        <v>3664.6800000000003</v>
      </c>
    </row>
    <row r="17" spans="1:4" ht="12.75">
      <c r="A17" s="9" t="s">
        <v>49</v>
      </c>
      <c r="B17" s="8">
        <v>47348.23</v>
      </c>
      <c r="C17" s="13">
        <v>41680.2</v>
      </c>
      <c r="D17" s="8">
        <f t="shared" si="0"/>
        <v>5668.030000000006</v>
      </c>
    </row>
    <row r="18" spans="1:4" ht="12.75">
      <c r="A18" s="9" t="s">
        <v>50</v>
      </c>
      <c r="B18" s="8">
        <v>47348.23</v>
      </c>
      <c r="C18" s="13">
        <v>46661.64</v>
      </c>
      <c r="D18" s="8">
        <f t="shared" si="0"/>
        <v>686.5900000000038</v>
      </c>
    </row>
    <row r="19" spans="1:4" ht="12.75">
      <c r="A19" s="9" t="s">
        <v>51</v>
      </c>
      <c r="B19" s="8">
        <v>47348.23</v>
      </c>
      <c r="C19" s="13">
        <v>45964.99</v>
      </c>
      <c r="D19" s="8">
        <f t="shared" si="0"/>
        <v>1383.2400000000052</v>
      </c>
    </row>
    <row r="20" spans="1:4" ht="12.75">
      <c r="A20" s="9" t="s">
        <v>52</v>
      </c>
      <c r="B20" s="8">
        <v>41912.76</v>
      </c>
      <c r="C20" s="13">
        <v>38883.77</v>
      </c>
      <c r="D20" s="8">
        <f t="shared" si="0"/>
        <v>3028.9900000000052</v>
      </c>
    </row>
    <row r="21" spans="1:4" ht="12.75">
      <c r="A21" s="9" t="s">
        <v>53</v>
      </c>
      <c r="B21" s="8">
        <v>41912.76</v>
      </c>
      <c r="C21" s="13">
        <v>35309.61</v>
      </c>
      <c r="D21" s="8">
        <f t="shared" si="0"/>
        <v>6603.1500000000015</v>
      </c>
    </row>
    <row r="22" spans="1:4" ht="12.75">
      <c r="A22" s="9" t="s">
        <v>54</v>
      </c>
      <c r="B22" s="8">
        <v>45922.15</v>
      </c>
      <c r="C22" s="13">
        <v>46840.42</v>
      </c>
      <c r="D22" s="8">
        <f t="shared" si="0"/>
        <v>-918.2699999999968</v>
      </c>
    </row>
    <row r="23" spans="1:4" ht="12.75">
      <c r="A23" s="9" t="s">
        <v>55</v>
      </c>
      <c r="B23" s="8">
        <v>45922.15</v>
      </c>
      <c r="C23" s="13">
        <v>40413.76</v>
      </c>
      <c r="D23" s="13">
        <f t="shared" si="0"/>
        <v>5508.389999999999</v>
      </c>
    </row>
    <row r="24" spans="1:4" ht="12.75">
      <c r="A24" s="9" t="s">
        <v>56</v>
      </c>
      <c r="B24" s="8">
        <v>45922.15</v>
      </c>
      <c r="C24" s="13">
        <v>43016.24</v>
      </c>
      <c r="D24" s="13">
        <f t="shared" si="0"/>
        <v>2905.9100000000035</v>
      </c>
    </row>
    <row r="25" spans="1:4" ht="12.75">
      <c r="A25" s="9" t="s">
        <v>57</v>
      </c>
      <c r="B25" s="8">
        <v>45922.15</v>
      </c>
      <c r="C25" s="13">
        <v>43252.26</v>
      </c>
      <c r="D25" s="13">
        <f t="shared" si="0"/>
        <v>2669.8899999999994</v>
      </c>
    </row>
    <row r="26" spans="1:4" ht="12.75">
      <c r="A26" s="7" t="s">
        <v>58</v>
      </c>
      <c r="B26" s="8">
        <f>SUM(B27:B38)</f>
        <v>265.08</v>
      </c>
      <c r="C26" s="8">
        <f>SUM(C27:C38)</f>
        <v>186.24</v>
      </c>
      <c r="D26" s="8">
        <f>SUM(D27:D38)</f>
        <v>78.84</v>
      </c>
    </row>
    <row r="27" spans="1:4" ht="12.75">
      <c r="A27" s="9" t="s">
        <v>59</v>
      </c>
      <c r="B27" s="8">
        <v>22.09</v>
      </c>
      <c r="C27" s="8">
        <v>15.52</v>
      </c>
      <c r="D27" s="8">
        <f aca="true" t="shared" si="1" ref="D27:D38">B27-C27</f>
        <v>6.57</v>
      </c>
    </row>
    <row r="28" spans="1:4" ht="12.75">
      <c r="A28" s="9" t="s">
        <v>47</v>
      </c>
      <c r="B28" s="8">
        <v>22.09</v>
      </c>
      <c r="C28" s="13">
        <v>13.21</v>
      </c>
      <c r="D28" s="8">
        <f t="shared" si="1"/>
        <v>8.879999999999999</v>
      </c>
    </row>
    <row r="29" spans="1:4" ht="12.75">
      <c r="A29" s="9" t="s">
        <v>48</v>
      </c>
      <c r="B29" s="8">
        <v>22.09</v>
      </c>
      <c r="C29" s="13">
        <v>17.83</v>
      </c>
      <c r="D29" s="8">
        <f t="shared" si="1"/>
        <v>4.260000000000002</v>
      </c>
    </row>
    <row r="30" spans="1:4" ht="12.75">
      <c r="A30" s="9" t="s">
        <v>49</v>
      </c>
      <c r="B30" s="8">
        <v>22.09</v>
      </c>
      <c r="C30" s="13">
        <v>15.52</v>
      </c>
      <c r="D30" s="8">
        <f t="shared" si="1"/>
        <v>6.57</v>
      </c>
    </row>
    <row r="31" spans="1:4" ht="12.75">
      <c r="A31" s="9" t="s">
        <v>50</v>
      </c>
      <c r="B31" s="8">
        <v>22.09</v>
      </c>
      <c r="C31" s="13">
        <v>15.52</v>
      </c>
      <c r="D31" s="8">
        <f t="shared" si="1"/>
        <v>6.57</v>
      </c>
    </row>
    <row r="32" spans="1:4" ht="12.75">
      <c r="A32" s="9" t="s">
        <v>51</v>
      </c>
      <c r="B32" s="8">
        <v>22.09</v>
      </c>
      <c r="C32" s="13">
        <v>15.52</v>
      </c>
      <c r="D32" s="8">
        <f t="shared" si="1"/>
        <v>6.57</v>
      </c>
    </row>
    <row r="33" spans="1:4" ht="12.75">
      <c r="A33" s="9" t="s">
        <v>52</v>
      </c>
      <c r="B33" s="8">
        <v>22.09</v>
      </c>
      <c r="C33" s="13">
        <v>15.52</v>
      </c>
      <c r="D33" s="8">
        <f t="shared" si="1"/>
        <v>6.57</v>
      </c>
    </row>
    <row r="34" spans="1:4" ht="12.75">
      <c r="A34" s="9" t="s">
        <v>53</v>
      </c>
      <c r="B34" s="8">
        <v>22.09</v>
      </c>
      <c r="C34" s="13">
        <v>15.52</v>
      </c>
      <c r="D34" s="8">
        <f t="shared" si="1"/>
        <v>6.57</v>
      </c>
    </row>
    <row r="35" spans="1:4" ht="12.75">
      <c r="A35" s="9" t="s">
        <v>54</v>
      </c>
      <c r="B35" s="8">
        <v>22.09</v>
      </c>
      <c r="C35" s="13">
        <v>15.51</v>
      </c>
      <c r="D35" s="8">
        <f t="shared" si="1"/>
        <v>6.58</v>
      </c>
    </row>
    <row r="36" spans="1:4" ht="12.75">
      <c r="A36" s="9" t="s">
        <v>55</v>
      </c>
      <c r="B36" s="8">
        <v>22.09</v>
      </c>
      <c r="C36" s="13">
        <v>15.53</v>
      </c>
      <c r="D36" s="13">
        <f t="shared" si="1"/>
        <v>6.5600000000000005</v>
      </c>
    </row>
    <row r="37" spans="1:4" ht="12.75">
      <c r="A37" s="9" t="s">
        <v>56</v>
      </c>
      <c r="B37" s="8">
        <v>22.09</v>
      </c>
      <c r="C37" s="13">
        <v>15.52</v>
      </c>
      <c r="D37" s="13">
        <f t="shared" si="1"/>
        <v>6.57</v>
      </c>
    </row>
    <row r="38" spans="1:4" ht="12.75">
      <c r="A38" s="9" t="s">
        <v>57</v>
      </c>
      <c r="B38" s="8">
        <v>22.09</v>
      </c>
      <c r="C38" s="13">
        <v>15.52</v>
      </c>
      <c r="D38" s="13">
        <f t="shared" si="1"/>
        <v>6.57</v>
      </c>
    </row>
    <row r="39" spans="1:4" ht="12.75">
      <c r="A39" s="9" t="s">
        <v>60</v>
      </c>
      <c r="B39" s="8">
        <f>B13+B26</f>
        <v>551868.5800000001</v>
      </c>
      <c r="C39" s="8">
        <f>C13+C26</f>
        <v>513635.14</v>
      </c>
      <c r="D39" s="8">
        <f>D13+D26</f>
        <v>38233.44000000003</v>
      </c>
    </row>
    <row r="41" spans="1:4" ht="12.75">
      <c r="A41" t="s">
        <v>61</v>
      </c>
      <c r="D41" s="12">
        <f>D39</f>
        <v>38233.44000000003</v>
      </c>
    </row>
    <row r="43" spans="1:4" ht="12.75">
      <c r="A43" s="11" t="s">
        <v>62</v>
      </c>
      <c r="D43" s="12">
        <f>D44+D45</f>
        <v>42026.32</v>
      </c>
    </row>
    <row r="44" spans="1:4" ht="12.75">
      <c r="A44" s="11" t="s">
        <v>63</v>
      </c>
      <c r="D44" s="12">
        <f>(1.33*8*D5)+(1.59*4*D5)</f>
        <v>35938</v>
      </c>
    </row>
    <row r="45" spans="1:4" ht="12.75">
      <c r="A45" s="11" t="s">
        <v>64</v>
      </c>
      <c r="D45" s="12">
        <f>(0.24*12*D5)</f>
        <v>6088.32</v>
      </c>
    </row>
    <row r="46" spans="1:4" ht="12.75">
      <c r="A46" s="11" t="s">
        <v>65</v>
      </c>
      <c r="D46" s="12">
        <v>0</v>
      </c>
    </row>
    <row r="47" spans="1:4" ht="12.75">
      <c r="A47" s="11" t="s">
        <v>109</v>
      </c>
      <c r="D47" s="12">
        <f>758.1*0.22*4+(758.1*2.5)</f>
        <v>2562.378</v>
      </c>
    </row>
    <row r="48" spans="1:4" ht="12.75">
      <c r="A48" s="11" t="s">
        <v>121</v>
      </c>
      <c r="D48" s="12">
        <f>(2.66*6*D5)</f>
        <v>33739.44</v>
      </c>
    </row>
    <row r="49" spans="1:4" ht="12.75">
      <c r="A49" s="11" t="s">
        <v>66</v>
      </c>
      <c r="D49" s="12">
        <v>0</v>
      </c>
    </row>
    <row r="50" spans="1:4" ht="12.75">
      <c r="A50" s="11" t="s">
        <v>108</v>
      </c>
      <c r="D50" s="12">
        <f>(0.72*2*D5)+(0.79*1*D5)</f>
        <v>4714.22</v>
      </c>
    </row>
    <row r="51" spans="1:4" ht="12.75">
      <c r="A51" s="11" t="s">
        <v>67</v>
      </c>
      <c r="D51" s="12">
        <f>(1.45*8*D5)+(2.36*4*D5)</f>
        <v>44478.56</v>
      </c>
    </row>
    <row r="52" spans="1:4" ht="12.75">
      <c r="A52" s="11" t="s">
        <v>68</v>
      </c>
      <c r="D52" s="12">
        <f>(5.11*8*D5)+(3.62*4*D5)</f>
        <v>117031.04000000001</v>
      </c>
    </row>
    <row r="53" spans="1:4" ht="12.75">
      <c r="A53" s="11" t="s">
        <v>69</v>
      </c>
      <c r="D53" s="12">
        <f>(0.29*8*D5)+(0.28*4*D5)</f>
        <v>7272.16</v>
      </c>
    </row>
    <row r="54" spans="1:4" ht="12.75">
      <c r="A54" s="11" t="s">
        <v>110</v>
      </c>
      <c r="D54" s="12">
        <f>(3.87*8*D5)+(2.8*4*D5)</f>
        <v>89126.24</v>
      </c>
    </row>
    <row r="55" spans="1:4" ht="12.75">
      <c r="A55" s="11" t="s">
        <v>70</v>
      </c>
      <c r="D55" s="12">
        <f>2.25*12*D6</f>
        <v>1215</v>
      </c>
    </row>
    <row r="56" spans="1:4" ht="12.75">
      <c r="A56" s="11" t="s">
        <v>71</v>
      </c>
      <c r="D56" s="12">
        <v>49642</v>
      </c>
    </row>
    <row r="57" spans="1:4" ht="12.75">
      <c r="A57" s="11" t="s">
        <v>72</v>
      </c>
      <c r="D57" s="12">
        <f>(0.91*8*D5)+(3.91*4*D5)</f>
        <v>48452.88</v>
      </c>
    </row>
    <row r="58" spans="1:4" ht="12.75">
      <c r="A58" s="14" t="s">
        <v>96</v>
      </c>
      <c r="D58" s="12">
        <v>0</v>
      </c>
    </row>
    <row r="59" spans="1:4" ht="12.75">
      <c r="A59" s="11"/>
      <c r="D59" s="12"/>
    </row>
    <row r="60" spans="1:4" ht="12.75">
      <c r="A60" s="11" t="s">
        <v>73</v>
      </c>
      <c r="D60" s="12">
        <f>D43+D46+D47+D48+D49+D50+D51+D52+D53+D54+D55+D56+D57+D58</f>
        <v>440260.238</v>
      </c>
    </row>
    <row r="61" spans="1:4" ht="12.75">
      <c r="A61" s="11"/>
      <c r="D61" s="12"/>
    </row>
    <row r="62" spans="1:4" ht="12.75">
      <c r="A62" t="s">
        <v>103</v>
      </c>
      <c r="D62" s="12">
        <f>C39-D60</f>
        <v>73374.902</v>
      </c>
    </row>
    <row r="64" spans="1:2" ht="12.75" hidden="1">
      <c r="A64">
        <v>2254</v>
      </c>
      <c r="B64" t="s">
        <v>119</v>
      </c>
    </row>
    <row r="65" spans="1:2" ht="12.75" hidden="1">
      <c r="A65">
        <v>456</v>
      </c>
      <c r="B65" t="s">
        <v>211</v>
      </c>
    </row>
    <row r="66" spans="1:2" ht="12.75" hidden="1">
      <c r="A66">
        <v>678</v>
      </c>
      <c r="B66" t="s">
        <v>27</v>
      </c>
    </row>
    <row r="67" spans="1:2" ht="12.75" hidden="1">
      <c r="A67">
        <v>2987</v>
      </c>
      <c r="B67" t="s">
        <v>211</v>
      </c>
    </row>
    <row r="68" spans="1:2" ht="12.75" hidden="1">
      <c r="A68">
        <v>1145</v>
      </c>
      <c r="B68" t="s">
        <v>176</v>
      </c>
    </row>
    <row r="69" spans="1:2" ht="12.75" hidden="1">
      <c r="A69">
        <v>10462</v>
      </c>
      <c r="B69" t="s">
        <v>177</v>
      </c>
    </row>
    <row r="70" spans="1:2" ht="12.75" hidden="1">
      <c r="A70">
        <v>6745</v>
      </c>
      <c r="B70" t="s">
        <v>20</v>
      </c>
    </row>
    <row r="71" spans="1:2" ht="12.75" hidden="1">
      <c r="A71">
        <v>3461</v>
      </c>
      <c r="B71" t="s">
        <v>119</v>
      </c>
    </row>
    <row r="72" spans="1:2" ht="12.75" hidden="1">
      <c r="A72">
        <v>21454</v>
      </c>
      <c r="B72" t="s">
        <v>115</v>
      </c>
    </row>
    <row r="73" ht="12.75" hidden="1">
      <c r="A73">
        <f>SUM(A64:A72)</f>
        <v>49642</v>
      </c>
    </row>
  </sheetData>
  <sheetProtection/>
  <printOptions/>
  <pageMargins left="0.7874015748031497" right="0.7874015748031497" top="0.1968503937007874" bottom="0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2"/>
  </sheetPr>
  <dimension ref="A1:G95"/>
  <sheetViews>
    <sheetView zoomScalePageLayoutView="0" workbookViewId="0" topLeftCell="A49">
      <selection activeCell="A84" sqref="A84:IV95"/>
    </sheetView>
  </sheetViews>
  <sheetFormatPr defaultColWidth="9.140625" defaultRowHeight="12.75"/>
  <cols>
    <col min="2" max="3" width="12.421875" style="0" bestFit="1" customWidth="1"/>
    <col min="4" max="4" width="12.28125" style="0" bestFit="1" customWidth="1"/>
  </cols>
  <sheetData>
    <row r="1" ht="12.75">
      <c r="A1" t="s">
        <v>14</v>
      </c>
    </row>
    <row r="2" ht="12.75">
      <c r="A2" t="s">
        <v>4</v>
      </c>
    </row>
    <row r="3" spans="1:7" ht="12.75">
      <c r="A3" s="1" t="s">
        <v>34</v>
      </c>
      <c r="B3" s="2" t="s">
        <v>35</v>
      </c>
      <c r="C3" s="1" t="s">
        <v>106</v>
      </c>
      <c r="D3" s="1"/>
      <c r="E3" s="1" t="s">
        <v>36</v>
      </c>
      <c r="F3" s="3">
        <v>33</v>
      </c>
      <c r="G3" s="21">
        <v>2018</v>
      </c>
    </row>
    <row r="5" spans="1:5" ht="12.75">
      <c r="A5" t="s">
        <v>37</v>
      </c>
      <c r="D5" s="4">
        <v>908.5</v>
      </c>
      <c r="E5" s="5" t="s">
        <v>74</v>
      </c>
    </row>
    <row r="6" spans="1:5" ht="12.75">
      <c r="A6" t="s">
        <v>38</v>
      </c>
      <c r="D6" s="4">
        <v>22</v>
      </c>
      <c r="E6" s="5"/>
    </row>
    <row r="7" spans="1:5" ht="12.75">
      <c r="A7" t="s">
        <v>39</v>
      </c>
      <c r="D7" s="4">
        <v>45</v>
      </c>
      <c r="E7" s="5" t="s">
        <v>40</v>
      </c>
    </row>
    <row r="8" spans="1:5" ht="12.75">
      <c r="A8" t="s">
        <v>41</v>
      </c>
      <c r="D8" s="4">
        <v>41.5</v>
      </c>
      <c r="E8" s="5" t="s">
        <v>74</v>
      </c>
    </row>
    <row r="9" spans="1:5" ht="12.75">
      <c r="A9" t="s">
        <v>42</v>
      </c>
      <c r="D9" s="4">
        <v>2052</v>
      </c>
      <c r="E9" s="5" t="s">
        <v>74</v>
      </c>
    </row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190147.44000000003</v>
      </c>
      <c r="C13" s="8">
        <f>SUM(C14:C25)</f>
        <v>222351.72000000003</v>
      </c>
      <c r="D13" s="8">
        <f>SUM(D14:D25)</f>
        <v>-32204.28000000001</v>
      </c>
    </row>
    <row r="14" spans="1:4" ht="12.75">
      <c r="A14" s="9" t="s">
        <v>59</v>
      </c>
      <c r="B14" s="8">
        <v>16953.39</v>
      </c>
      <c r="C14" s="8">
        <v>19325.04</v>
      </c>
      <c r="D14" s="8">
        <f aca="true" t="shared" si="0" ref="D14:D25">B14-C14</f>
        <v>-2371.6500000000015</v>
      </c>
    </row>
    <row r="15" spans="1:4" ht="12.75">
      <c r="A15" s="9" t="s">
        <v>47</v>
      </c>
      <c r="B15" s="8">
        <v>16953.39</v>
      </c>
      <c r="C15" s="13">
        <v>34768.53</v>
      </c>
      <c r="D15" s="8">
        <f t="shared" si="0"/>
        <v>-17815.14</v>
      </c>
    </row>
    <row r="16" spans="1:4" ht="12.75">
      <c r="A16" s="9" t="s">
        <v>48</v>
      </c>
      <c r="B16" s="8">
        <v>16953.39</v>
      </c>
      <c r="C16" s="13">
        <v>17859.9</v>
      </c>
      <c r="D16" s="8">
        <f t="shared" si="0"/>
        <v>-906.510000000002</v>
      </c>
    </row>
    <row r="17" spans="1:4" ht="12.75">
      <c r="A17" s="9" t="s">
        <v>49</v>
      </c>
      <c r="B17" s="8">
        <v>16953.39</v>
      </c>
      <c r="C17" s="13">
        <v>15794.29</v>
      </c>
      <c r="D17" s="8">
        <f t="shared" si="0"/>
        <v>1159.0999999999985</v>
      </c>
    </row>
    <row r="18" spans="1:4" ht="12.75">
      <c r="A18" s="9" t="s">
        <v>50</v>
      </c>
      <c r="B18" s="8">
        <v>16953.39</v>
      </c>
      <c r="C18" s="13">
        <v>19140.96</v>
      </c>
      <c r="D18" s="8">
        <f t="shared" si="0"/>
        <v>-2187.5699999999997</v>
      </c>
    </row>
    <row r="19" spans="1:4" ht="12.75">
      <c r="A19" s="9" t="s">
        <v>51</v>
      </c>
      <c r="B19" s="8">
        <v>16953.39</v>
      </c>
      <c r="C19" s="13">
        <v>15343.14</v>
      </c>
      <c r="D19" s="8">
        <f t="shared" si="0"/>
        <v>1610.25</v>
      </c>
    </row>
    <row r="20" spans="1:4" ht="12.75">
      <c r="A20" s="9" t="s">
        <v>52</v>
      </c>
      <c r="B20" s="8">
        <v>14737.85</v>
      </c>
      <c r="C20" s="13">
        <v>12799.35</v>
      </c>
      <c r="D20" s="8">
        <f t="shared" si="0"/>
        <v>1938.5</v>
      </c>
    </row>
    <row r="21" spans="1:4" ht="12.75">
      <c r="A21" s="9" t="s">
        <v>53</v>
      </c>
      <c r="B21" s="8">
        <v>14737.85</v>
      </c>
      <c r="C21" s="13">
        <v>18985.79</v>
      </c>
      <c r="D21" s="8">
        <f t="shared" si="0"/>
        <v>-4247.9400000000005</v>
      </c>
    </row>
    <row r="22" spans="1:4" ht="12.75">
      <c r="A22" s="9" t="s">
        <v>54</v>
      </c>
      <c r="B22" s="8">
        <v>14737.85</v>
      </c>
      <c r="C22" s="13">
        <v>24673.07</v>
      </c>
      <c r="D22" s="8">
        <f t="shared" si="0"/>
        <v>-9935.22</v>
      </c>
    </row>
    <row r="23" spans="1:4" ht="12.75">
      <c r="A23" s="9" t="s">
        <v>55</v>
      </c>
      <c r="B23" s="8">
        <v>14737.85</v>
      </c>
      <c r="C23" s="13">
        <v>14190.64</v>
      </c>
      <c r="D23" s="13">
        <f t="shared" si="0"/>
        <v>547.210000000001</v>
      </c>
    </row>
    <row r="24" spans="1:4" ht="12.75">
      <c r="A24" s="9" t="s">
        <v>56</v>
      </c>
      <c r="B24" s="8">
        <v>14737.85</v>
      </c>
      <c r="C24" s="13">
        <v>14875.29</v>
      </c>
      <c r="D24" s="13">
        <f t="shared" si="0"/>
        <v>-137.4400000000005</v>
      </c>
    </row>
    <row r="25" spans="1:4" ht="12.75">
      <c r="A25" s="9" t="s">
        <v>57</v>
      </c>
      <c r="B25" s="8">
        <v>14737.85</v>
      </c>
      <c r="C25" s="13">
        <v>14595.72</v>
      </c>
      <c r="D25" s="13">
        <f t="shared" si="0"/>
        <v>142.13000000000102</v>
      </c>
    </row>
    <row r="26" spans="1:4" ht="12.75">
      <c r="A26" s="7" t="s">
        <v>58</v>
      </c>
      <c r="B26" s="8">
        <f>SUM(B27:B38)</f>
        <v>73.67999999999999</v>
      </c>
      <c r="C26" s="8">
        <f>SUM(C27:C38)</f>
        <v>84.16</v>
      </c>
      <c r="D26" s="8">
        <f>SUM(D27:D38)</f>
        <v>-10.480000000000006</v>
      </c>
    </row>
    <row r="27" spans="1:4" ht="11.25" customHeight="1">
      <c r="A27" s="9" t="s">
        <v>59</v>
      </c>
      <c r="B27" s="8">
        <v>6.14</v>
      </c>
      <c r="C27" s="8">
        <v>11.26</v>
      </c>
      <c r="D27" s="8">
        <f aca="true" t="shared" si="1" ref="D27:D38">B27-C27</f>
        <v>-5.12</v>
      </c>
    </row>
    <row r="28" spans="1:4" ht="12.75">
      <c r="A28" s="9" t="s">
        <v>47</v>
      </c>
      <c r="B28" s="8">
        <v>6.14</v>
      </c>
      <c r="C28" s="8">
        <v>10.63</v>
      </c>
      <c r="D28" s="8">
        <f t="shared" si="1"/>
        <v>-4.490000000000001</v>
      </c>
    </row>
    <row r="29" spans="1:4" ht="12.75">
      <c r="A29" s="9" t="s">
        <v>48</v>
      </c>
      <c r="B29" s="8">
        <v>6.14</v>
      </c>
      <c r="C29" s="8">
        <v>8.13</v>
      </c>
      <c r="D29" s="8">
        <f t="shared" si="1"/>
        <v>-1.990000000000001</v>
      </c>
    </row>
    <row r="30" spans="1:4" ht="12.75">
      <c r="A30" s="9" t="s">
        <v>49</v>
      </c>
      <c r="B30" s="8">
        <v>6.14</v>
      </c>
      <c r="C30" s="8">
        <v>0</v>
      </c>
      <c r="D30" s="8">
        <f t="shared" si="1"/>
        <v>6.14</v>
      </c>
    </row>
    <row r="31" spans="1:4" ht="12.75">
      <c r="A31" s="9" t="s">
        <v>50</v>
      </c>
      <c r="B31" s="8">
        <v>6.14</v>
      </c>
      <c r="C31" s="8">
        <v>9.94</v>
      </c>
      <c r="D31" s="8">
        <f t="shared" si="1"/>
        <v>-3.8</v>
      </c>
    </row>
    <row r="32" spans="1:4" ht="12.75">
      <c r="A32" s="9" t="s">
        <v>51</v>
      </c>
      <c r="B32" s="8">
        <v>6.14</v>
      </c>
      <c r="C32" s="8">
        <v>3.35</v>
      </c>
      <c r="D32" s="8">
        <f t="shared" si="1"/>
        <v>2.7899999999999996</v>
      </c>
    </row>
    <row r="33" spans="1:4" ht="12.75">
      <c r="A33" s="9" t="s">
        <v>52</v>
      </c>
      <c r="B33" s="8">
        <v>6.14</v>
      </c>
      <c r="C33" s="8">
        <v>6.62</v>
      </c>
      <c r="D33" s="8">
        <f t="shared" si="1"/>
        <v>-0.4800000000000004</v>
      </c>
    </row>
    <row r="34" spans="1:4" ht="12.75">
      <c r="A34" s="9" t="s">
        <v>53</v>
      </c>
      <c r="B34" s="8">
        <v>6.14</v>
      </c>
      <c r="C34" s="8">
        <v>6.9</v>
      </c>
      <c r="D34" s="8">
        <f t="shared" si="1"/>
        <v>-0.7600000000000007</v>
      </c>
    </row>
    <row r="35" spans="1:4" ht="12.75">
      <c r="A35" s="9" t="s">
        <v>54</v>
      </c>
      <c r="B35" s="8">
        <v>6.14</v>
      </c>
      <c r="C35" s="8">
        <v>8.81</v>
      </c>
      <c r="D35" s="8">
        <f t="shared" si="1"/>
        <v>-2.670000000000001</v>
      </c>
    </row>
    <row r="36" spans="1:4" ht="12.75">
      <c r="A36" s="9" t="s">
        <v>55</v>
      </c>
      <c r="B36" s="8">
        <v>6.14</v>
      </c>
      <c r="C36" s="8">
        <v>8.13</v>
      </c>
      <c r="D36" s="13">
        <f t="shared" si="1"/>
        <v>-1.990000000000001</v>
      </c>
    </row>
    <row r="37" spans="1:4" ht="12.75">
      <c r="A37" s="9" t="s">
        <v>56</v>
      </c>
      <c r="B37" s="8">
        <v>6.14</v>
      </c>
      <c r="C37" s="8">
        <v>7.08</v>
      </c>
      <c r="D37" s="13">
        <f t="shared" si="1"/>
        <v>-0.9400000000000004</v>
      </c>
    </row>
    <row r="38" spans="1:4" ht="12.75">
      <c r="A38" s="9" t="s">
        <v>57</v>
      </c>
      <c r="B38" s="8">
        <v>6.14</v>
      </c>
      <c r="C38" s="8">
        <v>3.31</v>
      </c>
      <c r="D38" s="13">
        <f t="shared" si="1"/>
        <v>2.8299999999999996</v>
      </c>
    </row>
    <row r="39" spans="1:4" ht="12.75">
      <c r="A39" s="7" t="s">
        <v>140</v>
      </c>
      <c r="B39" s="13">
        <f>SUM(B40:B48)</f>
        <v>0</v>
      </c>
      <c r="C39" s="13">
        <f>SUM(C40:C48)</f>
        <v>0</v>
      </c>
      <c r="D39" s="13">
        <f>SUM(D40:D48)</f>
        <v>0</v>
      </c>
    </row>
    <row r="40" spans="1:4" ht="12.75">
      <c r="A40" s="9" t="s">
        <v>49</v>
      </c>
      <c r="B40" s="13"/>
      <c r="C40" s="13"/>
      <c r="D40" s="13">
        <f aca="true" t="shared" si="2" ref="D40:D46">B40-C40</f>
        <v>0</v>
      </c>
    </row>
    <row r="41" spans="1:4" ht="12.75">
      <c r="A41" s="9" t="s">
        <v>50</v>
      </c>
      <c r="B41" s="13"/>
      <c r="C41" s="13"/>
      <c r="D41" s="13">
        <f t="shared" si="2"/>
        <v>0</v>
      </c>
    </row>
    <row r="42" spans="1:4" ht="12.75">
      <c r="A42" s="9" t="s">
        <v>51</v>
      </c>
      <c r="B42" s="13"/>
      <c r="C42" s="13"/>
      <c r="D42" s="13">
        <f t="shared" si="2"/>
        <v>0</v>
      </c>
    </row>
    <row r="43" spans="1:4" ht="12.75">
      <c r="A43" s="9" t="s">
        <v>52</v>
      </c>
      <c r="B43" s="13"/>
      <c r="C43" s="13"/>
      <c r="D43" s="13">
        <f t="shared" si="2"/>
        <v>0</v>
      </c>
    </row>
    <row r="44" spans="1:4" ht="12.75">
      <c r="A44" s="9" t="s">
        <v>53</v>
      </c>
      <c r="B44" s="13"/>
      <c r="C44" s="13"/>
      <c r="D44" s="13">
        <f t="shared" si="2"/>
        <v>0</v>
      </c>
    </row>
    <row r="45" spans="1:4" ht="12.75">
      <c r="A45" s="9" t="s">
        <v>54</v>
      </c>
      <c r="B45" s="13"/>
      <c r="C45" s="13"/>
      <c r="D45" s="13">
        <f t="shared" si="2"/>
        <v>0</v>
      </c>
    </row>
    <row r="46" spans="1:4" ht="12.75">
      <c r="A46" s="9" t="s">
        <v>55</v>
      </c>
      <c r="B46" s="13"/>
      <c r="C46" s="13"/>
      <c r="D46" s="13">
        <f t="shared" si="2"/>
        <v>0</v>
      </c>
    </row>
    <row r="47" spans="1:4" ht="12.75">
      <c r="A47" s="9" t="s">
        <v>56</v>
      </c>
      <c r="B47" s="13"/>
      <c r="C47" s="13"/>
      <c r="D47" s="13">
        <f>B47-C47</f>
        <v>0</v>
      </c>
    </row>
    <row r="48" spans="1:4" ht="12.75">
      <c r="A48" s="9" t="s">
        <v>57</v>
      </c>
      <c r="B48" s="13"/>
      <c r="C48" s="13"/>
      <c r="D48" s="13">
        <f>B48-C48</f>
        <v>0</v>
      </c>
    </row>
    <row r="49" spans="1:4" ht="12.75">
      <c r="A49" s="7" t="s">
        <v>76</v>
      </c>
      <c r="B49" s="13">
        <f>SUM(B50:B58)</f>
        <v>0</v>
      </c>
      <c r="C49" s="13">
        <f>SUM(C50:C58)</f>
        <v>0</v>
      </c>
      <c r="D49" s="13">
        <f>SUM(D50:D58)</f>
        <v>0</v>
      </c>
    </row>
    <row r="50" spans="1:4" ht="12.75">
      <c r="A50" s="9" t="s">
        <v>59</v>
      </c>
      <c r="B50" s="13"/>
      <c r="C50" s="13"/>
      <c r="D50" s="8">
        <f aca="true" t="shared" si="3" ref="D50:D58">B50-C50</f>
        <v>0</v>
      </c>
    </row>
    <row r="51" spans="1:4" ht="12.75">
      <c r="A51" s="9" t="s">
        <v>47</v>
      </c>
      <c r="B51" s="13"/>
      <c r="C51" s="13"/>
      <c r="D51" s="8">
        <f t="shared" si="3"/>
        <v>0</v>
      </c>
    </row>
    <row r="52" spans="1:4" ht="12.75">
      <c r="A52" s="9" t="s">
        <v>48</v>
      </c>
      <c r="B52" s="13"/>
      <c r="C52" s="13"/>
      <c r="D52" s="8">
        <f t="shared" si="3"/>
        <v>0</v>
      </c>
    </row>
    <row r="53" spans="1:4" ht="12.75">
      <c r="A53" s="9" t="s">
        <v>49</v>
      </c>
      <c r="B53" s="13"/>
      <c r="C53" s="13"/>
      <c r="D53" s="8">
        <f t="shared" si="3"/>
        <v>0</v>
      </c>
    </row>
    <row r="54" spans="1:4" ht="12.75">
      <c r="A54" s="9" t="s">
        <v>50</v>
      </c>
      <c r="B54" s="8"/>
      <c r="C54" s="8"/>
      <c r="D54" s="8">
        <f t="shared" si="3"/>
        <v>0</v>
      </c>
    </row>
    <row r="55" spans="1:4" ht="12.75">
      <c r="A55" s="9" t="s">
        <v>51</v>
      </c>
      <c r="B55" s="13"/>
      <c r="C55" s="13"/>
      <c r="D55" s="8">
        <f t="shared" si="3"/>
        <v>0</v>
      </c>
    </row>
    <row r="56" spans="1:4" ht="12.75">
      <c r="A56" s="9" t="s">
        <v>52</v>
      </c>
      <c r="B56" s="13"/>
      <c r="C56" s="13"/>
      <c r="D56" s="13">
        <f t="shared" si="3"/>
        <v>0</v>
      </c>
    </row>
    <row r="57" spans="1:4" ht="12.75">
      <c r="A57" s="9" t="s">
        <v>53</v>
      </c>
      <c r="B57" s="13"/>
      <c r="C57" s="13"/>
      <c r="D57" s="13">
        <f t="shared" si="3"/>
        <v>0</v>
      </c>
    </row>
    <row r="58" spans="1:4" ht="12.75">
      <c r="A58" s="9" t="s">
        <v>54</v>
      </c>
      <c r="B58" s="13"/>
      <c r="C58" s="13"/>
      <c r="D58" s="13">
        <f t="shared" si="3"/>
        <v>0</v>
      </c>
    </row>
    <row r="59" spans="1:4" ht="12.75">
      <c r="A59" s="9" t="s">
        <v>60</v>
      </c>
      <c r="B59" s="8">
        <f>B13+B26</f>
        <v>190221.12000000002</v>
      </c>
      <c r="C59" s="8">
        <f>C13+C26</f>
        <v>222435.88000000003</v>
      </c>
      <c r="D59" s="8">
        <f>D13+D26</f>
        <v>-32214.76000000001</v>
      </c>
    </row>
    <row r="61" spans="1:4" ht="12.75">
      <c r="A61" t="s">
        <v>61</v>
      </c>
      <c r="D61" s="12">
        <f>D59</f>
        <v>-32214.76000000001</v>
      </c>
    </row>
    <row r="63" spans="1:4" ht="12.75">
      <c r="A63" s="11" t="s">
        <v>62</v>
      </c>
      <c r="D63" s="12">
        <f>D64+D65</f>
        <v>17116.140000000003</v>
      </c>
    </row>
    <row r="64" spans="1:4" ht="12.75">
      <c r="A64" s="11" t="s">
        <v>63</v>
      </c>
      <c r="D64" s="12">
        <f>(1.33*12*D5)</f>
        <v>14499.660000000002</v>
      </c>
    </row>
    <row r="65" spans="1:4" ht="12.75">
      <c r="A65" s="11" t="s">
        <v>64</v>
      </c>
      <c r="D65" s="12">
        <f>(0.24*12*D5)</f>
        <v>2616.48</v>
      </c>
    </row>
    <row r="66" spans="1:4" ht="12.75">
      <c r="A66" s="11" t="s">
        <v>65</v>
      </c>
      <c r="D66" s="12">
        <v>0</v>
      </c>
    </row>
    <row r="67" spans="1:4" ht="12.75">
      <c r="A67" s="11" t="s">
        <v>109</v>
      </c>
      <c r="D67" s="12">
        <v>0</v>
      </c>
    </row>
    <row r="68" spans="1:4" ht="12.75">
      <c r="A68" s="11" t="s">
        <v>121</v>
      </c>
      <c r="D68" s="12">
        <f>(2.66*6*D5)</f>
        <v>14499.660000000002</v>
      </c>
    </row>
    <row r="69" spans="1:4" ht="12.75">
      <c r="A69" s="11" t="s">
        <v>66</v>
      </c>
      <c r="D69" s="12">
        <v>0</v>
      </c>
    </row>
    <row r="70" spans="1:4" ht="12.75">
      <c r="A70" s="11" t="s">
        <v>108</v>
      </c>
      <c r="D70" s="12">
        <f>(0.72*3*D5)</f>
        <v>1962.3600000000001</v>
      </c>
    </row>
    <row r="71" spans="1:4" ht="12.75">
      <c r="A71" s="11" t="s">
        <v>67</v>
      </c>
      <c r="D71" s="12">
        <f>(1.45*12*D5)</f>
        <v>15807.899999999998</v>
      </c>
    </row>
    <row r="72" spans="1:4" ht="12.75">
      <c r="A72" s="11" t="s">
        <v>68</v>
      </c>
      <c r="D72" s="12">
        <f>(5.11*12*D5)</f>
        <v>55709.22000000001</v>
      </c>
    </row>
    <row r="73" spans="1:4" ht="12.75">
      <c r="A73" s="11" t="s">
        <v>69</v>
      </c>
      <c r="D73" s="12">
        <f>(0.29*12*D5)</f>
        <v>3161.5799999999995</v>
      </c>
    </row>
    <row r="74" spans="1:4" ht="12.75">
      <c r="A74" s="11" t="s">
        <v>107</v>
      </c>
      <c r="D74" s="12">
        <f>(3.87*12*D5)</f>
        <v>42190.74</v>
      </c>
    </row>
    <row r="75" spans="1:4" ht="12.75">
      <c r="A75" s="11" t="s">
        <v>70</v>
      </c>
      <c r="D75" s="12">
        <f>2.25*12*D5</f>
        <v>24529.5</v>
      </c>
    </row>
    <row r="76" spans="1:4" ht="12.75">
      <c r="A76" s="11" t="s">
        <v>71</v>
      </c>
      <c r="D76" s="12">
        <v>16709</v>
      </c>
    </row>
    <row r="77" spans="1:4" ht="12.75">
      <c r="A77" s="11" t="s">
        <v>72</v>
      </c>
      <c r="D77" s="12">
        <f>(0.57*12*D5)</f>
        <v>6214.139999999999</v>
      </c>
    </row>
    <row r="78" spans="1:4" ht="12.75">
      <c r="A78" s="14"/>
      <c r="D78" s="12"/>
    </row>
    <row r="79" spans="1:4" ht="12.75">
      <c r="A79" s="11"/>
      <c r="D79" s="12"/>
    </row>
    <row r="80" spans="1:4" ht="12.75">
      <c r="A80" s="11" t="s">
        <v>73</v>
      </c>
      <c r="D80" s="12">
        <f>D63+D66+D67+D68+D69+D70+D71+D72+D73+D74+D75+D76+D77+D78</f>
        <v>197900.24</v>
      </c>
    </row>
    <row r="81" spans="1:4" ht="12.75">
      <c r="A81" s="11"/>
      <c r="D81" s="12"/>
    </row>
    <row r="82" spans="1:4" ht="12.75">
      <c r="A82" t="s">
        <v>99</v>
      </c>
      <c r="D82" s="12">
        <f>C59-D80</f>
        <v>24535.640000000043</v>
      </c>
    </row>
    <row r="84" ht="12.75" hidden="1">
      <c r="A84" s="11" t="s">
        <v>71</v>
      </c>
    </row>
    <row r="85" ht="12.75" hidden="1"/>
    <row r="86" spans="1:2" ht="12.75" hidden="1">
      <c r="A86">
        <v>1174</v>
      </c>
      <c r="B86" t="s">
        <v>27</v>
      </c>
    </row>
    <row r="87" spans="1:2" ht="12.75" hidden="1">
      <c r="A87">
        <v>1107</v>
      </c>
      <c r="B87" t="s">
        <v>138</v>
      </c>
    </row>
    <row r="88" spans="1:2" ht="12.75" hidden="1">
      <c r="A88">
        <v>1876</v>
      </c>
      <c r="B88" t="s">
        <v>193</v>
      </c>
    </row>
    <row r="89" spans="1:2" ht="12.75" hidden="1">
      <c r="A89">
        <v>6740</v>
      </c>
      <c r="B89" t="s">
        <v>138</v>
      </c>
    </row>
    <row r="90" spans="1:2" ht="12.75" hidden="1">
      <c r="A90">
        <v>1248</v>
      </c>
      <c r="B90" t="s">
        <v>213</v>
      </c>
    </row>
    <row r="91" spans="1:2" ht="12.75" hidden="1">
      <c r="A91">
        <v>1523</v>
      </c>
      <c r="B91" t="s">
        <v>193</v>
      </c>
    </row>
    <row r="92" spans="1:2" ht="12.75" hidden="1">
      <c r="A92">
        <v>1376</v>
      </c>
      <c r="B92" t="s">
        <v>158</v>
      </c>
    </row>
    <row r="93" spans="1:2" ht="12.75" hidden="1">
      <c r="A93">
        <v>1376</v>
      </c>
      <c r="B93" t="s">
        <v>159</v>
      </c>
    </row>
    <row r="94" spans="1:2" ht="12.75" hidden="1">
      <c r="A94">
        <v>289</v>
      </c>
      <c r="B94" t="s">
        <v>160</v>
      </c>
    </row>
    <row r="95" ht="12.75" hidden="1">
      <c r="A95">
        <f>SUM(A86:A94)</f>
        <v>16709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2"/>
  </sheetPr>
  <dimension ref="A1:G80"/>
  <sheetViews>
    <sheetView zoomScalePageLayoutView="0" workbookViewId="0" topLeftCell="A40">
      <selection activeCell="A73" sqref="A73:IV80"/>
    </sheetView>
  </sheetViews>
  <sheetFormatPr defaultColWidth="9.140625" defaultRowHeight="12.75"/>
  <cols>
    <col min="2" max="2" width="12.421875" style="0" bestFit="1" customWidth="1"/>
    <col min="3" max="3" width="13.28125" style="0" bestFit="1" customWidth="1"/>
    <col min="4" max="4" width="13.421875" style="0" bestFit="1" customWidth="1"/>
  </cols>
  <sheetData>
    <row r="1" ht="12.75">
      <c r="A1" t="s">
        <v>14</v>
      </c>
    </row>
    <row r="2" ht="12.75">
      <c r="A2" t="s">
        <v>4</v>
      </c>
    </row>
    <row r="3" spans="1:7" ht="12.75">
      <c r="A3" s="1" t="s">
        <v>34</v>
      </c>
      <c r="B3" s="2" t="s">
        <v>35</v>
      </c>
      <c r="C3" s="1" t="s">
        <v>97</v>
      </c>
      <c r="D3" s="1"/>
      <c r="E3" s="1" t="s">
        <v>36</v>
      </c>
      <c r="F3" s="3">
        <v>1</v>
      </c>
      <c r="G3" s="21">
        <v>2018</v>
      </c>
    </row>
    <row r="5" spans="1:5" ht="12.75">
      <c r="A5" t="s">
        <v>37</v>
      </c>
      <c r="D5" s="4">
        <v>3167.4</v>
      </c>
      <c r="E5" s="5" t="s">
        <v>74</v>
      </c>
    </row>
    <row r="6" spans="1:5" ht="12.75">
      <c r="A6" t="s">
        <v>38</v>
      </c>
      <c r="D6" s="4">
        <v>59</v>
      </c>
      <c r="E6" s="5"/>
    </row>
    <row r="7" spans="1:5" ht="12.75">
      <c r="A7" t="s">
        <v>39</v>
      </c>
      <c r="D7" s="4">
        <v>179</v>
      </c>
      <c r="E7" s="5" t="s">
        <v>40</v>
      </c>
    </row>
    <row r="8" spans="1:5" ht="12.75">
      <c r="A8" t="s">
        <v>41</v>
      </c>
      <c r="D8" s="4">
        <v>435.8</v>
      </c>
      <c r="E8" s="5" t="s">
        <v>74</v>
      </c>
    </row>
    <row r="9" spans="1:5" ht="12.75">
      <c r="A9" t="s">
        <v>42</v>
      </c>
      <c r="D9" s="4">
        <v>1773.9</v>
      </c>
      <c r="E9" s="5" t="s">
        <v>74</v>
      </c>
    </row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819471.2999999999</v>
      </c>
      <c r="C13" s="8">
        <f>SUM(C14:C25)</f>
        <v>751835.3300000001</v>
      </c>
      <c r="D13" s="8">
        <f>SUM(D14:D25)</f>
        <v>67635.97000000006</v>
      </c>
    </row>
    <row r="14" spans="1:4" ht="12.75">
      <c r="A14" s="9" t="s">
        <v>59</v>
      </c>
      <c r="B14" s="8">
        <v>72438.57</v>
      </c>
      <c r="C14" s="8">
        <v>63975.23</v>
      </c>
      <c r="D14" s="8">
        <f aca="true" t="shared" si="0" ref="D14:D25">B14-C14</f>
        <v>8463.340000000004</v>
      </c>
    </row>
    <row r="15" spans="1:4" ht="12.75">
      <c r="A15" s="9" t="s">
        <v>47</v>
      </c>
      <c r="B15" s="8">
        <v>72438.57</v>
      </c>
      <c r="C15" s="13">
        <v>66938.17</v>
      </c>
      <c r="D15" s="8">
        <f t="shared" si="0"/>
        <v>5500.400000000009</v>
      </c>
    </row>
    <row r="16" spans="1:4" ht="12.75">
      <c r="A16" s="9" t="s">
        <v>48</v>
      </c>
      <c r="B16" s="8">
        <v>72438.57</v>
      </c>
      <c r="C16" s="13">
        <v>67178.99</v>
      </c>
      <c r="D16" s="8">
        <f t="shared" si="0"/>
        <v>5259.580000000002</v>
      </c>
    </row>
    <row r="17" spans="1:4" ht="12.75">
      <c r="A17" s="9" t="s">
        <v>49</v>
      </c>
      <c r="B17" s="8">
        <v>72438.57</v>
      </c>
      <c r="C17" s="13">
        <v>62365.68</v>
      </c>
      <c r="D17" s="8">
        <f t="shared" si="0"/>
        <v>10072.890000000007</v>
      </c>
    </row>
    <row r="18" spans="1:4" ht="12.75">
      <c r="A18" s="9" t="s">
        <v>50</v>
      </c>
      <c r="B18" s="8">
        <v>72438.57</v>
      </c>
      <c r="C18" s="13">
        <v>61230.43</v>
      </c>
      <c r="D18" s="8">
        <f t="shared" si="0"/>
        <v>11208.140000000007</v>
      </c>
    </row>
    <row r="19" spans="1:4" ht="12.75">
      <c r="A19" s="9" t="s">
        <v>51</v>
      </c>
      <c r="B19" s="8">
        <v>72438.57</v>
      </c>
      <c r="C19" s="13">
        <v>64262.51</v>
      </c>
      <c r="D19" s="8">
        <f t="shared" si="0"/>
        <v>8176.060000000005</v>
      </c>
    </row>
    <row r="20" spans="1:4" ht="12.75">
      <c r="A20" s="9" t="s">
        <v>52</v>
      </c>
      <c r="B20" s="8">
        <v>64139.98</v>
      </c>
      <c r="C20" s="13">
        <v>66517.9</v>
      </c>
      <c r="D20" s="8">
        <f t="shared" si="0"/>
        <v>-2377.919999999991</v>
      </c>
    </row>
    <row r="21" spans="1:4" ht="12.75">
      <c r="A21" s="9" t="s">
        <v>53</v>
      </c>
      <c r="B21" s="8">
        <v>64139.98</v>
      </c>
      <c r="C21" s="13">
        <v>56006.55</v>
      </c>
      <c r="D21" s="8">
        <f t="shared" si="0"/>
        <v>8133.43</v>
      </c>
    </row>
    <row r="22" spans="1:4" ht="12.75">
      <c r="A22" s="9" t="s">
        <v>54</v>
      </c>
      <c r="B22" s="8">
        <v>64139.98</v>
      </c>
      <c r="C22" s="13">
        <v>60509.73</v>
      </c>
      <c r="D22" s="8">
        <f t="shared" si="0"/>
        <v>3630.25</v>
      </c>
    </row>
    <row r="23" spans="1:4" ht="12.75">
      <c r="A23" s="9" t="s">
        <v>55</v>
      </c>
      <c r="B23" s="8">
        <v>64139.98</v>
      </c>
      <c r="C23" s="13">
        <v>62967.93</v>
      </c>
      <c r="D23" s="13">
        <f t="shared" si="0"/>
        <v>1172.050000000003</v>
      </c>
    </row>
    <row r="24" spans="1:4" ht="12.75">
      <c r="A24" s="9" t="s">
        <v>56</v>
      </c>
      <c r="B24" s="8">
        <v>64139.98</v>
      </c>
      <c r="C24" s="13">
        <v>62786.33</v>
      </c>
      <c r="D24" s="13">
        <f t="shared" si="0"/>
        <v>1353.6500000000015</v>
      </c>
    </row>
    <row r="25" spans="1:4" ht="12.75">
      <c r="A25" s="9" t="s">
        <v>57</v>
      </c>
      <c r="B25" s="8">
        <v>64139.98</v>
      </c>
      <c r="C25" s="13">
        <v>57095.88</v>
      </c>
      <c r="D25" s="13">
        <f t="shared" si="0"/>
        <v>7044.100000000006</v>
      </c>
    </row>
    <row r="26" spans="1:4" ht="12.75">
      <c r="A26" s="7" t="s">
        <v>58</v>
      </c>
      <c r="B26" s="8">
        <f>SUM(B27:B38)</f>
        <v>360.84</v>
      </c>
      <c r="C26" s="8">
        <f>SUM(C27:C38)</f>
        <v>230.43</v>
      </c>
      <c r="D26" s="8">
        <f>SUM(D27:D38)</f>
        <v>130.41000000000003</v>
      </c>
    </row>
    <row r="27" spans="1:4" ht="12.75">
      <c r="A27" s="9" t="s">
        <v>59</v>
      </c>
      <c r="B27" s="8">
        <v>30.07</v>
      </c>
      <c r="C27" s="8">
        <v>18.46</v>
      </c>
      <c r="D27" s="8">
        <f aca="true" t="shared" si="1" ref="D27:D35">B27-C27</f>
        <v>11.61</v>
      </c>
    </row>
    <row r="28" spans="1:4" ht="12.75">
      <c r="A28" s="9" t="s">
        <v>47</v>
      </c>
      <c r="B28" s="8">
        <v>30.07</v>
      </c>
      <c r="C28" s="13">
        <v>18.38</v>
      </c>
      <c r="D28" s="8">
        <f t="shared" si="1"/>
        <v>11.690000000000001</v>
      </c>
    </row>
    <row r="29" spans="1:4" ht="12.75">
      <c r="A29" s="9" t="s">
        <v>48</v>
      </c>
      <c r="B29" s="8">
        <v>30.07</v>
      </c>
      <c r="C29" s="13">
        <v>17.82</v>
      </c>
      <c r="D29" s="8">
        <f t="shared" si="1"/>
        <v>12.25</v>
      </c>
    </row>
    <row r="30" spans="1:4" ht="12.75">
      <c r="A30" s="9" t="s">
        <v>49</v>
      </c>
      <c r="B30" s="8">
        <v>30.07</v>
      </c>
      <c r="C30" s="13">
        <v>17.81</v>
      </c>
      <c r="D30" s="8">
        <f t="shared" si="1"/>
        <v>12.260000000000002</v>
      </c>
    </row>
    <row r="31" spans="1:4" ht="12.75">
      <c r="A31" s="9" t="s">
        <v>50</v>
      </c>
      <c r="B31" s="8">
        <v>30.07</v>
      </c>
      <c r="C31" s="13">
        <v>13.39</v>
      </c>
      <c r="D31" s="8">
        <f t="shared" si="1"/>
        <v>16.68</v>
      </c>
    </row>
    <row r="32" spans="1:4" ht="12.75">
      <c r="A32" s="9" t="s">
        <v>51</v>
      </c>
      <c r="B32" s="8">
        <v>30.07</v>
      </c>
      <c r="C32" s="13">
        <v>17.97</v>
      </c>
      <c r="D32" s="8">
        <f t="shared" si="1"/>
        <v>12.100000000000001</v>
      </c>
    </row>
    <row r="33" spans="1:4" ht="12.75">
      <c r="A33" s="9" t="s">
        <v>52</v>
      </c>
      <c r="B33" s="8">
        <v>30.07</v>
      </c>
      <c r="C33" s="13">
        <v>22.11</v>
      </c>
      <c r="D33" s="8">
        <f t="shared" si="1"/>
        <v>7.960000000000001</v>
      </c>
    </row>
    <row r="34" spans="1:4" ht="12.75">
      <c r="A34" s="9" t="s">
        <v>53</v>
      </c>
      <c r="B34" s="8">
        <v>30.07</v>
      </c>
      <c r="C34" s="13">
        <v>17.91</v>
      </c>
      <c r="D34" s="8">
        <f t="shared" si="1"/>
        <v>12.16</v>
      </c>
    </row>
    <row r="35" spans="1:4" ht="12.75">
      <c r="A35" s="9" t="s">
        <v>54</v>
      </c>
      <c r="B35" s="8">
        <v>30.07</v>
      </c>
      <c r="C35" s="13">
        <v>14.15</v>
      </c>
      <c r="D35" s="8">
        <f t="shared" si="1"/>
        <v>15.92</v>
      </c>
    </row>
    <row r="36" spans="1:4" ht="12.75">
      <c r="A36" s="9" t="s">
        <v>55</v>
      </c>
      <c r="B36" s="8">
        <v>30.07</v>
      </c>
      <c r="C36" s="13">
        <v>26.62</v>
      </c>
      <c r="D36" s="13">
        <f>B36-C36</f>
        <v>3.4499999999999993</v>
      </c>
    </row>
    <row r="37" spans="1:4" ht="12.75">
      <c r="A37" s="9" t="s">
        <v>56</v>
      </c>
      <c r="B37" s="8">
        <v>30.07</v>
      </c>
      <c r="C37" s="13">
        <v>27.88</v>
      </c>
      <c r="D37" s="13">
        <f>B37-C37</f>
        <v>2.1900000000000013</v>
      </c>
    </row>
    <row r="38" spans="1:4" ht="12.75">
      <c r="A38" s="9" t="s">
        <v>57</v>
      </c>
      <c r="B38" s="8">
        <v>30.07</v>
      </c>
      <c r="C38" s="13">
        <v>17.93</v>
      </c>
      <c r="D38" s="13">
        <f>B38-C38</f>
        <v>12.14</v>
      </c>
    </row>
    <row r="39" spans="1:4" ht="12.75">
      <c r="A39" s="7" t="s">
        <v>75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>
      <c r="A40" s="9" t="s">
        <v>56</v>
      </c>
      <c r="B40" s="13"/>
      <c r="C40" s="13"/>
      <c r="D40" s="13">
        <f>B40-C40</f>
        <v>0</v>
      </c>
    </row>
    <row r="41" spans="1:4" ht="12.75">
      <c r="A41" s="9" t="s">
        <v>57</v>
      </c>
      <c r="B41" s="13"/>
      <c r="C41" s="13"/>
      <c r="D41" s="13">
        <f>B41-C41</f>
        <v>0</v>
      </c>
    </row>
    <row r="42" spans="1:4" ht="12.75">
      <c r="A42" s="7" t="s">
        <v>76</v>
      </c>
      <c r="B42" s="13">
        <f>B43+B44+B45+B46+B47</f>
        <v>0</v>
      </c>
      <c r="C42" s="13">
        <f>C43+C44+C45+C46+C47</f>
        <v>0</v>
      </c>
      <c r="D42" s="13">
        <f>SUM(D43:D47)</f>
        <v>0</v>
      </c>
    </row>
    <row r="43" spans="1:4" ht="12.75">
      <c r="A43" s="9" t="s">
        <v>53</v>
      </c>
      <c r="B43" s="8"/>
      <c r="C43" s="8"/>
      <c r="D43" s="8">
        <f>B43-C43</f>
        <v>0</v>
      </c>
    </row>
    <row r="44" spans="1:4" ht="12.75">
      <c r="A44" s="9" t="s">
        <v>54</v>
      </c>
      <c r="B44" s="13"/>
      <c r="C44" s="13"/>
      <c r="D44" s="8">
        <f>B44-C44</f>
        <v>0</v>
      </c>
    </row>
    <row r="45" spans="1:4" ht="12.75">
      <c r="A45" s="9" t="s">
        <v>55</v>
      </c>
      <c r="B45" s="13"/>
      <c r="C45" s="13"/>
      <c r="D45" s="13">
        <f>B45-C45</f>
        <v>0</v>
      </c>
    </row>
    <row r="46" spans="1:4" ht="12.75">
      <c r="A46" s="9" t="s">
        <v>56</v>
      </c>
      <c r="B46" s="13"/>
      <c r="C46" s="13"/>
      <c r="D46" s="13">
        <f>B46-C46</f>
        <v>0</v>
      </c>
    </row>
    <row r="47" spans="1:4" ht="12.75">
      <c r="A47" s="9" t="s">
        <v>57</v>
      </c>
      <c r="B47" s="13"/>
      <c r="C47" s="13"/>
      <c r="D47" s="13">
        <f>B47-C47</f>
        <v>0</v>
      </c>
    </row>
    <row r="48" spans="1:4" ht="12.75">
      <c r="A48" s="9" t="s">
        <v>60</v>
      </c>
      <c r="B48" s="8">
        <f>B13+B26+B39+B42</f>
        <v>819832.1399999999</v>
      </c>
      <c r="C48" s="8">
        <f>C13+C26+C39+C42</f>
        <v>752065.7600000001</v>
      </c>
      <c r="D48" s="8">
        <f>D13+D26+D39+D42</f>
        <v>67766.38000000006</v>
      </c>
    </row>
    <row r="50" spans="1:4" ht="12.75">
      <c r="A50" t="s">
        <v>61</v>
      </c>
      <c r="D50" s="12">
        <f>D48</f>
        <v>67766.38000000006</v>
      </c>
    </row>
    <row r="52" spans="1:4" ht="12.75">
      <c r="A52" s="11" t="s">
        <v>62</v>
      </c>
      <c r="D52" s="12">
        <f>D53+D54</f>
        <v>59673.816000000006</v>
      </c>
    </row>
    <row r="53" spans="1:4" ht="12.75">
      <c r="A53" s="11" t="s">
        <v>63</v>
      </c>
      <c r="D53" s="12">
        <f>(1.33*12*D5)</f>
        <v>50551.704000000005</v>
      </c>
    </row>
    <row r="54" spans="1:4" ht="12.75">
      <c r="A54" s="11" t="s">
        <v>64</v>
      </c>
      <c r="D54" s="12">
        <f>(0.24*12*D5)</f>
        <v>9122.112</v>
      </c>
    </row>
    <row r="55" spans="1:4" ht="12.75">
      <c r="A55" s="11" t="s">
        <v>65</v>
      </c>
      <c r="D55" s="12">
        <v>0</v>
      </c>
    </row>
    <row r="56" spans="1:4" ht="12.75">
      <c r="A56" s="11" t="s">
        <v>109</v>
      </c>
      <c r="D56" s="12">
        <f>1352.5*0.22*4+(1352.5*2.5)</f>
        <v>4571.45</v>
      </c>
    </row>
    <row r="57" spans="1:4" ht="12.75">
      <c r="A57" s="11" t="s">
        <v>121</v>
      </c>
      <c r="D57" s="12">
        <f>(2.66*6*D5)</f>
        <v>50551.704000000005</v>
      </c>
    </row>
    <row r="58" spans="1:4" ht="12.75">
      <c r="A58" s="11" t="s">
        <v>66</v>
      </c>
      <c r="D58" s="12">
        <v>0</v>
      </c>
    </row>
    <row r="59" spans="1:4" ht="12.75">
      <c r="A59" s="11" t="s">
        <v>108</v>
      </c>
      <c r="D59" s="12">
        <f>(0.72*3*D5)</f>
        <v>6841.584000000001</v>
      </c>
    </row>
    <row r="60" spans="1:4" ht="12.75">
      <c r="A60" s="11" t="s">
        <v>67</v>
      </c>
      <c r="D60" s="12">
        <f>(1.45*12*D5)</f>
        <v>55112.759999999995</v>
      </c>
    </row>
    <row r="61" spans="1:4" ht="12.75">
      <c r="A61" s="11" t="s">
        <v>68</v>
      </c>
      <c r="D61" s="12">
        <f>(5.83*12*D5)</f>
        <v>221591.30400000003</v>
      </c>
    </row>
    <row r="62" spans="1:4" ht="12.75">
      <c r="A62" s="11" t="s">
        <v>69</v>
      </c>
      <c r="D62" s="12">
        <f>(0.29*12*D5)</f>
        <v>11022.552</v>
      </c>
    </row>
    <row r="63" spans="1:4" ht="12.75">
      <c r="A63" s="11" t="s">
        <v>110</v>
      </c>
      <c r="D63" s="12">
        <f>(3.87*12*D5)</f>
        <v>147094.056</v>
      </c>
    </row>
    <row r="64" spans="1:4" ht="12.75">
      <c r="A64" s="11" t="s">
        <v>70</v>
      </c>
      <c r="D64" s="12">
        <f>2.25*12*D6</f>
        <v>1593</v>
      </c>
    </row>
    <row r="65" spans="1:4" ht="12.75">
      <c r="A65" s="11" t="s">
        <v>71</v>
      </c>
      <c r="D65" s="12">
        <v>10256</v>
      </c>
    </row>
    <row r="66" spans="1:4" ht="12.75">
      <c r="A66" s="11" t="s">
        <v>72</v>
      </c>
      <c r="D66" s="12">
        <f>(0.91*12*D5)</f>
        <v>34588.008</v>
      </c>
    </row>
    <row r="67" spans="1:4" ht="12.75">
      <c r="A67" s="14" t="s">
        <v>96</v>
      </c>
      <c r="D67" s="12">
        <v>0</v>
      </c>
    </row>
    <row r="68" spans="1:4" ht="12.75">
      <c r="A68" s="11"/>
      <c r="D68" s="12"/>
    </row>
    <row r="69" spans="1:4" ht="12.75">
      <c r="A69" s="11" t="s">
        <v>73</v>
      </c>
      <c r="D69" s="12">
        <f>D52+D55+D56+D57+D58+D59+D60+D61+D62+D63+D64+D65+D66+D67</f>
        <v>602896.234</v>
      </c>
    </row>
    <row r="70" spans="1:4" ht="12.75">
      <c r="A70" s="11"/>
      <c r="D70" s="12"/>
    </row>
    <row r="71" spans="1:4" ht="12.75">
      <c r="A71" t="s">
        <v>103</v>
      </c>
      <c r="D71" s="12">
        <f>C48-D69</f>
        <v>149169.52600000007</v>
      </c>
    </row>
    <row r="73" spans="1:2" ht="12.75" hidden="1">
      <c r="A73">
        <v>1170</v>
      </c>
      <c r="B73" t="s">
        <v>27</v>
      </c>
    </row>
    <row r="74" spans="1:2" ht="12.75" hidden="1">
      <c r="A74">
        <v>1515</v>
      </c>
      <c r="B74" t="s">
        <v>27</v>
      </c>
    </row>
    <row r="75" spans="1:2" ht="12.75" hidden="1">
      <c r="A75">
        <v>586</v>
      </c>
      <c r="B75" t="s">
        <v>27</v>
      </c>
    </row>
    <row r="76" spans="1:2" ht="12.75" hidden="1">
      <c r="A76">
        <v>1467</v>
      </c>
      <c r="B76" t="s">
        <v>127</v>
      </c>
    </row>
    <row r="77" spans="1:2" ht="12.75" hidden="1">
      <c r="A77">
        <v>2974</v>
      </c>
      <c r="B77" t="s">
        <v>215</v>
      </c>
    </row>
    <row r="78" spans="1:2" ht="12.75" hidden="1">
      <c r="A78">
        <v>1864</v>
      </c>
      <c r="B78" t="s">
        <v>127</v>
      </c>
    </row>
    <row r="79" spans="1:2" ht="12.75" hidden="1">
      <c r="A79">
        <v>680</v>
      </c>
      <c r="B79" t="s">
        <v>116</v>
      </c>
    </row>
    <row r="80" ht="12.75" hidden="1">
      <c r="A80">
        <f>SUM(A73:A79)</f>
        <v>10256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2"/>
  </sheetPr>
  <dimension ref="A1:G81"/>
  <sheetViews>
    <sheetView zoomScalePageLayoutView="0" workbookViewId="0" topLeftCell="A40">
      <selection activeCell="A73" sqref="A73:IV81"/>
    </sheetView>
  </sheetViews>
  <sheetFormatPr defaultColWidth="9.140625" defaultRowHeight="12.75"/>
  <cols>
    <col min="2" max="2" width="12.421875" style="0" bestFit="1" customWidth="1"/>
    <col min="3" max="3" width="13.28125" style="0" bestFit="1" customWidth="1"/>
    <col min="4" max="4" width="12.00390625" style="0" bestFit="1" customWidth="1"/>
  </cols>
  <sheetData>
    <row r="1" ht="12.75">
      <c r="A1" t="s">
        <v>14</v>
      </c>
    </row>
    <row r="2" ht="12.75">
      <c r="A2" t="s">
        <v>4</v>
      </c>
    </row>
    <row r="3" spans="1:7" ht="12.75">
      <c r="A3" s="1" t="s">
        <v>34</v>
      </c>
      <c r="B3" s="2" t="s">
        <v>35</v>
      </c>
      <c r="C3" s="1" t="s">
        <v>97</v>
      </c>
      <c r="D3" s="1"/>
      <c r="E3" s="1" t="s">
        <v>36</v>
      </c>
      <c r="F3" s="3">
        <v>2</v>
      </c>
      <c r="G3" s="21">
        <v>2018</v>
      </c>
    </row>
    <row r="5" spans="1:5" ht="12.75">
      <c r="A5" t="s">
        <v>37</v>
      </c>
      <c r="D5" s="4">
        <v>3147.4</v>
      </c>
      <c r="E5" s="5" t="s">
        <v>74</v>
      </c>
    </row>
    <row r="6" spans="1:5" ht="12.75">
      <c r="A6" t="s">
        <v>38</v>
      </c>
      <c r="D6" s="4">
        <v>61</v>
      </c>
      <c r="E6" s="5"/>
    </row>
    <row r="7" spans="1:5" ht="12.75">
      <c r="A7" t="s">
        <v>39</v>
      </c>
      <c r="D7" s="4">
        <v>189</v>
      </c>
      <c r="E7" s="5" t="s">
        <v>40</v>
      </c>
    </row>
    <row r="8" spans="1:5" ht="12.75">
      <c r="A8" t="s">
        <v>41</v>
      </c>
      <c r="D8" s="4">
        <v>382.6</v>
      </c>
      <c r="E8" s="5" t="s">
        <v>74</v>
      </c>
    </row>
    <row r="9" spans="1:5" ht="12.75">
      <c r="A9" t="s">
        <v>42</v>
      </c>
      <c r="D9" s="4">
        <v>2315.9</v>
      </c>
      <c r="E9" s="5" t="s">
        <v>74</v>
      </c>
    </row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812117.8400000001</v>
      </c>
      <c r="C13" s="8">
        <f>SUM(C14:C25)</f>
        <v>806851.58</v>
      </c>
      <c r="D13" s="8">
        <f>SUM(D14:D25)</f>
        <v>5266.259999999966</v>
      </c>
    </row>
    <row r="14" spans="1:4" ht="12.75">
      <c r="A14" s="9" t="s">
        <v>59</v>
      </c>
      <c r="B14" s="8">
        <v>71823.76</v>
      </c>
      <c r="C14" s="8">
        <v>64917.34</v>
      </c>
      <c r="D14" s="8">
        <f aca="true" t="shared" si="0" ref="D14:D25">B14-C14</f>
        <v>6906.419999999998</v>
      </c>
    </row>
    <row r="15" spans="1:4" ht="12.75">
      <c r="A15" s="9" t="s">
        <v>47</v>
      </c>
      <c r="B15" s="8">
        <v>71823.76</v>
      </c>
      <c r="C15" s="13">
        <v>50707.18</v>
      </c>
      <c r="D15" s="8">
        <f t="shared" si="0"/>
        <v>21116.579999999994</v>
      </c>
    </row>
    <row r="16" spans="1:4" ht="12.75">
      <c r="A16" s="9" t="s">
        <v>48</v>
      </c>
      <c r="B16" s="8">
        <v>71823.76</v>
      </c>
      <c r="C16" s="13">
        <v>90831.74</v>
      </c>
      <c r="D16" s="8">
        <f t="shared" si="0"/>
        <v>-19007.98000000001</v>
      </c>
    </row>
    <row r="17" spans="1:4" ht="12.75">
      <c r="A17" s="9" t="s">
        <v>49</v>
      </c>
      <c r="B17" s="8">
        <v>71823.76</v>
      </c>
      <c r="C17" s="13">
        <v>54787.49</v>
      </c>
      <c r="D17" s="8">
        <f t="shared" si="0"/>
        <v>17036.269999999997</v>
      </c>
    </row>
    <row r="18" spans="1:4" ht="12.75">
      <c r="A18" s="9" t="s">
        <v>50</v>
      </c>
      <c r="B18" s="8">
        <v>71810.06</v>
      </c>
      <c r="C18" s="13">
        <v>50171.21</v>
      </c>
      <c r="D18" s="8">
        <f t="shared" si="0"/>
        <v>21638.85</v>
      </c>
    </row>
    <row r="19" spans="1:4" ht="12.75">
      <c r="A19" s="9" t="s">
        <v>51</v>
      </c>
      <c r="B19" s="8">
        <v>71810.06</v>
      </c>
      <c r="C19" s="13">
        <v>55015.12</v>
      </c>
      <c r="D19" s="8">
        <f t="shared" si="0"/>
        <v>16794.939999999995</v>
      </c>
    </row>
    <row r="20" spans="1:4" ht="12.75">
      <c r="A20" s="9" t="s">
        <v>52</v>
      </c>
      <c r="B20" s="8">
        <v>63533.78</v>
      </c>
      <c r="C20" s="13">
        <v>48635.66</v>
      </c>
      <c r="D20" s="8">
        <f t="shared" si="0"/>
        <v>14898.119999999995</v>
      </c>
    </row>
    <row r="21" spans="1:4" ht="12.75">
      <c r="A21" s="9" t="s">
        <v>53</v>
      </c>
      <c r="B21" s="8">
        <v>63533.78</v>
      </c>
      <c r="C21" s="13">
        <v>47311.14</v>
      </c>
      <c r="D21" s="8">
        <f t="shared" si="0"/>
        <v>16222.64</v>
      </c>
    </row>
    <row r="22" spans="1:4" ht="12.75">
      <c r="A22" s="9" t="s">
        <v>54</v>
      </c>
      <c r="B22" s="8">
        <v>63533.78</v>
      </c>
      <c r="C22" s="13">
        <v>75322.26</v>
      </c>
      <c r="D22" s="8">
        <f t="shared" si="0"/>
        <v>-11788.479999999996</v>
      </c>
    </row>
    <row r="23" spans="1:4" ht="12.75">
      <c r="A23" s="9" t="s">
        <v>55</v>
      </c>
      <c r="B23" s="8">
        <v>63533.78</v>
      </c>
      <c r="C23" s="13">
        <v>99635.86</v>
      </c>
      <c r="D23" s="13">
        <f t="shared" si="0"/>
        <v>-36102.08</v>
      </c>
    </row>
    <row r="24" spans="1:4" ht="12.75">
      <c r="A24" s="9" t="s">
        <v>56</v>
      </c>
      <c r="B24" s="8">
        <v>63533.78</v>
      </c>
      <c r="C24" s="13">
        <v>107307.94</v>
      </c>
      <c r="D24" s="13">
        <f t="shared" si="0"/>
        <v>-43774.16</v>
      </c>
    </row>
    <row r="25" spans="1:4" ht="12.75">
      <c r="A25" s="9" t="s">
        <v>57</v>
      </c>
      <c r="B25" s="8">
        <v>63533.78</v>
      </c>
      <c r="C25" s="13">
        <v>62208.64</v>
      </c>
      <c r="D25" s="13">
        <f t="shared" si="0"/>
        <v>1325.1399999999994</v>
      </c>
    </row>
    <row r="26" spans="1:4" ht="12.75">
      <c r="A26" s="7" t="s">
        <v>58</v>
      </c>
      <c r="B26" s="8">
        <f>SUM(B27:B38)</f>
        <v>358.56</v>
      </c>
      <c r="C26" s="8">
        <f>SUM(C27:C38)</f>
        <v>456.43999999999994</v>
      </c>
      <c r="D26" s="8">
        <f>SUM(D27:D38)</f>
        <v>-97.88000000000004</v>
      </c>
    </row>
    <row r="27" spans="1:4" ht="12.75">
      <c r="A27" s="9" t="s">
        <v>59</v>
      </c>
      <c r="B27" s="8">
        <v>29.88</v>
      </c>
      <c r="C27" s="8">
        <v>15.84</v>
      </c>
      <c r="D27" s="8">
        <f aca="true" t="shared" si="1" ref="D27:D38">B27-C27</f>
        <v>14.04</v>
      </c>
    </row>
    <row r="28" spans="1:4" ht="12.75">
      <c r="A28" s="9" t="s">
        <v>47</v>
      </c>
      <c r="B28" s="8">
        <v>29.88</v>
      </c>
      <c r="C28" s="13">
        <v>15.84</v>
      </c>
      <c r="D28" s="8">
        <f t="shared" si="1"/>
        <v>14.04</v>
      </c>
    </row>
    <row r="29" spans="1:4" ht="12.75">
      <c r="A29" s="9" t="s">
        <v>48</v>
      </c>
      <c r="B29" s="8">
        <v>29.88</v>
      </c>
      <c r="C29" s="13">
        <v>45.27</v>
      </c>
      <c r="D29" s="8">
        <f t="shared" si="1"/>
        <v>-15.390000000000004</v>
      </c>
    </row>
    <row r="30" spans="1:4" ht="12.75">
      <c r="A30" s="9" t="s">
        <v>49</v>
      </c>
      <c r="B30" s="8">
        <v>29.88</v>
      </c>
      <c r="C30" s="13">
        <v>13.4</v>
      </c>
      <c r="D30" s="8">
        <f t="shared" si="1"/>
        <v>16.479999999999997</v>
      </c>
    </row>
    <row r="31" spans="1:4" ht="12.75">
      <c r="A31" s="9" t="s">
        <v>50</v>
      </c>
      <c r="B31" s="8">
        <v>29.88</v>
      </c>
      <c r="C31" s="13">
        <v>18.68</v>
      </c>
      <c r="D31" s="8">
        <f t="shared" si="1"/>
        <v>11.2</v>
      </c>
    </row>
    <row r="32" spans="1:4" ht="12.75">
      <c r="A32" s="9" t="s">
        <v>51</v>
      </c>
      <c r="B32" s="8">
        <v>29.88</v>
      </c>
      <c r="C32" s="13">
        <v>7.86</v>
      </c>
      <c r="D32" s="8">
        <f t="shared" si="1"/>
        <v>22.02</v>
      </c>
    </row>
    <row r="33" spans="1:4" ht="12.75">
      <c r="A33" s="9" t="s">
        <v>52</v>
      </c>
      <c r="B33" s="8">
        <v>29.88</v>
      </c>
      <c r="C33" s="13">
        <v>10.26</v>
      </c>
      <c r="D33" s="8">
        <f t="shared" si="1"/>
        <v>19.619999999999997</v>
      </c>
    </row>
    <row r="34" spans="1:4" ht="12.75">
      <c r="A34" s="9" t="s">
        <v>53</v>
      </c>
      <c r="B34" s="8">
        <v>29.88</v>
      </c>
      <c r="C34" s="13">
        <v>16.82</v>
      </c>
      <c r="D34" s="8">
        <f t="shared" si="1"/>
        <v>13.059999999999999</v>
      </c>
    </row>
    <row r="35" spans="1:4" ht="12.75">
      <c r="A35" s="9" t="s">
        <v>54</v>
      </c>
      <c r="B35" s="8">
        <v>29.88</v>
      </c>
      <c r="C35" s="13">
        <v>29.37</v>
      </c>
      <c r="D35" s="8">
        <f t="shared" si="1"/>
        <v>0.509999999999998</v>
      </c>
    </row>
    <row r="36" spans="1:4" ht="12.75">
      <c r="A36" s="9" t="s">
        <v>55</v>
      </c>
      <c r="B36" s="8">
        <v>29.88</v>
      </c>
      <c r="C36" s="13">
        <v>130.3</v>
      </c>
      <c r="D36" s="13">
        <f t="shared" si="1"/>
        <v>-100.42000000000002</v>
      </c>
    </row>
    <row r="37" spans="1:4" ht="12.75">
      <c r="A37" s="9" t="s">
        <v>56</v>
      </c>
      <c r="B37" s="8">
        <v>29.88</v>
      </c>
      <c r="C37" s="13">
        <v>121.77</v>
      </c>
      <c r="D37" s="13">
        <f t="shared" si="1"/>
        <v>-91.89</v>
      </c>
    </row>
    <row r="38" spans="1:4" ht="12.75">
      <c r="A38" s="9" t="s">
        <v>57</v>
      </c>
      <c r="B38" s="8">
        <v>29.88</v>
      </c>
      <c r="C38" s="13">
        <v>31.03</v>
      </c>
      <c r="D38" s="13">
        <f t="shared" si="1"/>
        <v>-1.1500000000000021</v>
      </c>
    </row>
    <row r="39" spans="1:4" ht="12.75">
      <c r="A39" s="7" t="s">
        <v>75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>
      <c r="A40" s="9" t="s">
        <v>56</v>
      </c>
      <c r="B40" s="13"/>
      <c r="C40" s="13"/>
      <c r="D40" s="13">
        <f>B40-C40</f>
        <v>0</v>
      </c>
    </row>
    <row r="41" spans="1:4" ht="12.75">
      <c r="A41" s="9" t="s">
        <v>57</v>
      </c>
      <c r="B41" s="13"/>
      <c r="C41" s="13"/>
      <c r="D41" s="13">
        <f>B41-C41</f>
        <v>0</v>
      </c>
    </row>
    <row r="42" spans="1:4" ht="12.75">
      <c r="A42" s="7" t="s">
        <v>76</v>
      </c>
      <c r="B42" s="13">
        <f>B43+B44+B45+B46+B47</f>
        <v>0</v>
      </c>
      <c r="C42" s="13">
        <f>C43+C44+C45+C46+C47</f>
        <v>0</v>
      </c>
      <c r="D42" s="13">
        <f>SUM(D43:D47)</f>
        <v>0</v>
      </c>
    </row>
    <row r="43" spans="1:4" ht="12.75">
      <c r="A43" s="9" t="s">
        <v>53</v>
      </c>
      <c r="B43" s="8"/>
      <c r="C43" s="8"/>
      <c r="D43" s="8">
        <f>B43-C43</f>
        <v>0</v>
      </c>
    </row>
    <row r="44" spans="1:4" ht="12.75">
      <c r="A44" s="9" t="s">
        <v>54</v>
      </c>
      <c r="B44" s="13"/>
      <c r="C44" s="13"/>
      <c r="D44" s="8">
        <f>B44-C44</f>
        <v>0</v>
      </c>
    </row>
    <row r="45" spans="1:4" ht="12.75">
      <c r="A45" s="9" t="s">
        <v>55</v>
      </c>
      <c r="B45" s="13"/>
      <c r="C45" s="13"/>
      <c r="D45" s="13">
        <f>B45-C45</f>
        <v>0</v>
      </c>
    </row>
    <row r="46" spans="1:4" ht="12.75">
      <c r="A46" s="9" t="s">
        <v>56</v>
      </c>
      <c r="B46" s="13"/>
      <c r="C46" s="13"/>
      <c r="D46" s="13">
        <f>B46-C46</f>
        <v>0</v>
      </c>
    </row>
    <row r="47" spans="1:4" ht="12.75">
      <c r="A47" s="9" t="s">
        <v>57</v>
      </c>
      <c r="B47" s="13"/>
      <c r="C47" s="13"/>
      <c r="D47" s="13">
        <f>B47-C47</f>
        <v>0</v>
      </c>
    </row>
    <row r="48" spans="1:4" ht="12.75">
      <c r="A48" s="9" t="s">
        <v>60</v>
      </c>
      <c r="B48" s="8">
        <f>B13+B26+B39+B42</f>
        <v>812476.4000000001</v>
      </c>
      <c r="C48" s="8">
        <f>C13+C26+C39+C42</f>
        <v>807308.0199999999</v>
      </c>
      <c r="D48" s="8">
        <f>D13+D26+D39+D42</f>
        <v>5168.379999999966</v>
      </c>
    </row>
    <row r="50" spans="1:4" ht="12.75">
      <c r="A50" t="s">
        <v>61</v>
      </c>
      <c r="D50" s="12">
        <f>D48</f>
        <v>5168.379999999966</v>
      </c>
    </row>
    <row r="52" spans="1:4" ht="12.75">
      <c r="A52" s="11" t="s">
        <v>62</v>
      </c>
      <c r="D52" s="12">
        <f>D53+D54</f>
        <v>59297.016</v>
      </c>
    </row>
    <row r="53" spans="1:4" ht="12.75">
      <c r="A53" s="11" t="s">
        <v>63</v>
      </c>
      <c r="D53" s="12">
        <f>(1.33*12*D5)</f>
        <v>50232.504</v>
      </c>
    </row>
    <row r="54" spans="1:4" ht="12.75">
      <c r="A54" s="11" t="s">
        <v>64</v>
      </c>
      <c r="D54" s="12">
        <f>(0.24*12*D5)</f>
        <v>9064.512</v>
      </c>
    </row>
    <row r="55" spans="1:4" ht="12.75">
      <c r="A55" s="11" t="s">
        <v>65</v>
      </c>
      <c r="D55" s="12">
        <v>0</v>
      </c>
    </row>
    <row r="56" spans="1:4" ht="12.75">
      <c r="A56" s="11" t="s">
        <v>109</v>
      </c>
      <c r="D56" s="12">
        <f>1349.7*0.22*4+(1349.7*2.5)</f>
        <v>4561.986</v>
      </c>
    </row>
    <row r="57" spans="1:4" ht="12.75">
      <c r="A57" s="11" t="s">
        <v>121</v>
      </c>
      <c r="D57" s="12">
        <f>(2.66*6*D5)</f>
        <v>50232.504</v>
      </c>
    </row>
    <row r="58" spans="1:4" ht="12.75" hidden="1">
      <c r="A58" s="11" t="s">
        <v>66</v>
      </c>
      <c r="D58" s="12">
        <v>0</v>
      </c>
    </row>
    <row r="59" spans="1:4" ht="12.75">
      <c r="A59" s="11" t="s">
        <v>108</v>
      </c>
      <c r="D59" s="12">
        <f>(0.72*3*D5)</f>
        <v>6798.384000000001</v>
      </c>
    </row>
    <row r="60" spans="1:4" ht="12.75">
      <c r="A60" s="11" t="s">
        <v>67</v>
      </c>
      <c r="D60" s="12">
        <f>(1.45*12*D5)</f>
        <v>54764.759999999995</v>
      </c>
    </row>
    <row r="61" spans="1:4" ht="12.75">
      <c r="A61" s="11" t="s">
        <v>68</v>
      </c>
      <c r="D61" s="12">
        <f>(5.83*12*D5)</f>
        <v>220192.10400000002</v>
      </c>
    </row>
    <row r="62" spans="1:4" ht="12.75">
      <c r="A62" s="11" t="s">
        <v>69</v>
      </c>
      <c r="D62" s="12">
        <f>(0.29*12*D5)</f>
        <v>10952.952</v>
      </c>
    </row>
    <row r="63" spans="1:4" ht="12.75">
      <c r="A63" s="11" t="s">
        <v>110</v>
      </c>
      <c r="D63" s="12">
        <f>(3.87*12*D5)</f>
        <v>146165.256</v>
      </c>
    </row>
    <row r="64" spans="1:4" ht="12.75">
      <c r="A64" s="11" t="s">
        <v>70</v>
      </c>
      <c r="D64" s="12">
        <f>2.25*12*D6</f>
        <v>1647</v>
      </c>
    </row>
    <row r="65" spans="1:4" ht="12.75">
      <c r="A65" s="11" t="s">
        <v>71</v>
      </c>
      <c r="D65" s="12">
        <v>22437</v>
      </c>
    </row>
    <row r="66" spans="1:4" ht="12.75">
      <c r="A66" s="11" t="s">
        <v>72</v>
      </c>
      <c r="D66" s="12">
        <f>(0.91*12*D5)</f>
        <v>34369.608</v>
      </c>
    </row>
    <row r="67" spans="1:4" ht="12.75">
      <c r="A67" s="14" t="s">
        <v>96</v>
      </c>
      <c r="D67" s="12">
        <v>0</v>
      </c>
    </row>
    <row r="68" spans="1:4" ht="12.75">
      <c r="A68" s="11"/>
      <c r="D68" s="12"/>
    </row>
    <row r="69" spans="1:4" ht="12.75">
      <c r="A69" s="11" t="s">
        <v>73</v>
      </c>
      <c r="D69" s="12">
        <f>D52+D55+D56+D57+D58+D59+D60+D61+D62+D63+D64+D65+D66+D67</f>
        <v>611418.5700000001</v>
      </c>
    </row>
    <row r="70" spans="1:4" ht="12.75">
      <c r="A70" s="11"/>
      <c r="D70" s="12"/>
    </row>
    <row r="71" spans="1:4" ht="12.75">
      <c r="A71" t="s">
        <v>103</v>
      </c>
      <c r="D71" s="12">
        <f>C48-D69</f>
        <v>195889.44999999984</v>
      </c>
    </row>
    <row r="73" spans="1:2" ht="12.75" hidden="1">
      <c r="A73">
        <v>1170</v>
      </c>
      <c r="B73" t="s">
        <v>27</v>
      </c>
    </row>
    <row r="74" spans="1:2" ht="12.75" hidden="1">
      <c r="A74">
        <v>930</v>
      </c>
      <c r="B74" t="s">
        <v>27</v>
      </c>
    </row>
    <row r="75" spans="1:2" ht="12.75" hidden="1">
      <c r="A75">
        <v>586</v>
      </c>
      <c r="B75" t="s">
        <v>27</v>
      </c>
    </row>
    <row r="76" spans="1:2" ht="12.75" hidden="1">
      <c r="A76">
        <v>1421</v>
      </c>
      <c r="B76" t="s">
        <v>138</v>
      </c>
    </row>
    <row r="77" spans="1:2" ht="12.75" hidden="1">
      <c r="A77">
        <v>3527</v>
      </c>
      <c r="B77" t="s">
        <v>215</v>
      </c>
    </row>
    <row r="78" spans="1:2" ht="12.75" hidden="1">
      <c r="A78">
        <v>8100</v>
      </c>
      <c r="B78" t="s">
        <v>161</v>
      </c>
    </row>
    <row r="79" spans="1:2" ht="12.75" hidden="1">
      <c r="A79">
        <v>3318</v>
      </c>
      <c r="B79" t="s">
        <v>127</v>
      </c>
    </row>
    <row r="80" spans="1:2" ht="12.75" hidden="1">
      <c r="A80">
        <v>3385</v>
      </c>
      <c r="B80" t="s">
        <v>117</v>
      </c>
    </row>
    <row r="81" ht="12.75" hidden="1">
      <c r="A81">
        <f>SUM(A73:A80)</f>
        <v>22437</v>
      </c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G72"/>
  <sheetViews>
    <sheetView zoomScalePageLayoutView="0" workbookViewId="0" topLeftCell="A52">
      <selection activeCell="A64" sqref="A64:IV72"/>
    </sheetView>
  </sheetViews>
  <sheetFormatPr defaultColWidth="9.140625" defaultRowHeight="12.75"/>
  <cols>
    <col min="2" max="3" width="12.421875" style="0" bestFit="1" customWidth="1"/>
    <col min="4" max="4" width="12.28125" style="0" bestFit="1" customWidth="1"/>
  </cols>
  <sheetData>
    <row r="1" ht="12.75">
      <c r="A1" t="s">
        <v>2</v>
      </c>
    </row>
    <row r="2" ht="12.75">
      <c r="A2" t="s">
        <v>205</v>
      </c>
    </row>
    <row r="3" spans="1:7" ht="12.75">
      <c r="A3" s="1" t="s">
        <v>34</v>
      </c>
      <c r="B3" s="2" t="s">
        <v>35</v>
      </c>
      <c r="C3" s="1" t="s">
        <v>77</v>
      </c>
      <c r="D3" s="1"/>
      <c r="E3" s="1" t="s">
        <v>36</v>
      </c>
      <c r="F3" s="3" t="s">
        <v>79</v>
      </c>
      <c r="G3" s="21">
        <v>2018</v>
      </c>
    </row>
    <row r="5" spans="1:5" ht="12.75">
      <c r="A5" t="s">
        <v>37</v>
      </c>
      <c r="D5" s="4">
        <v>2982.3</v>
      </c>
      <c r="E5" s="5" t="s">
        <v>74</v>
      </c>
    </row>
    <row r="6" spans="1:5" ht="12.75">
      <c r="A6" t="s">
        <v>38</v>
      </c>
      <c r="D6" s="4">
        <v>136</v>
      </c>
      <c r="E6" s="5"/>
    </row>
    <row r="7" spans="1:5" ht="12.75">
      <c r="A7" t="s">
        <v>39</v>
      </c>
      <c r="D7" s="4">
        <v>270</v>
      </c>
      <c r="E7" s="5" t="s">
        <v>40</v>
      </c>
    </row>
    <row r="8" spans="1:5" ht="12.75">
      <c r="A8" t="s">
        <v>41</v>
      </c>
      <c r="D8" s="4">
        <v>172</v>
      </c>
      <c r="E8" s="5" t="s">
        <v>74</v>
      </c>
    </row>
    <row r="9" spans="1:5" ht="12.75">
      <c r="A9" t="s">
        <v>42</v>
      </c>
      <c r="D9" s="4">
        <v>161</v>
      </c>
      <c r="E9" s="5" t="s">
        <v>74</v>
      </c>
    </row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687447.99</v>
      </c>
      <c r="C13" s="8">
        <f>SUM(C14:C25)</f>
        <v>643888.05</v>
      </c>
      <c r="D13" s="8">
        <f>SUM(D14:D25)</f>
        <v>43559.940000000024</v>
      </c>
    </row>
    <row r="14" spans="1:4" ht="12.75">
      <c r="A14" s="9" t="s">
        <v>59</v>
      </c>
      <c r="B14" s="8">
        <f>61346.33-1500</f>
        <v>59846.33</v>
      </c>
      <c r="C14" s="8">
        <v>59418.87</v>
      </c>
      <c r="D14" s="8">
        <f aca="true" t="shared" si="0" ref="D14:D25">B14-C14</f>
        <v>427.4599999999991</v>
      </c>
    </row>
    <row r="15" spans="1:4" ht="12.75">
      <c r="A15" s="9" t="s">
        <v>47</v>
      </c>
      <c r="B15" s="8">
        <v>61346.33</v>
      </c>
      <c r="C15" s="13">
        <v>52063.71</v>
      </c>
      <c r="D15" s="8">
        <f t="shared" si="0"/>
        <v>9282.620000000003</v>
      </c>
    </row>
    <row r="16" spans="1:4" ht="12.75">
      <c r="A16" s="9" t="s">
        <v>48</v>
      </c>
      <c r="B16" s="8">
        <v>61346.33</v>
      </c>
      <c r="C16" s="13">
        <v>69238.48</v>
      </c>
      <c r="D16" s="8">
        <f t="shared" si="0"/>
        <v>-7892.149999999994</v>
      </c>
    </row>
    <row r="17" spans="1:4" ht="12.75">
      <c r="A17" s="9" t="s">
        <v>49</v>
      </c>
      <c r="B17" s="8">
        <v>61346.33</v>
      </c>
      <c r="C17" s="13">
        <v>50988.71</v>
      </c>
      <c r="D17" s="8">
        <f t="shared" si="0"/>
        <v>10357.620000000003</v>
      </c>
    </row>
    <row r="18" spans="1:4" ht="12.75">
      <c r="A18" s="9" t="s">
        <v>50</v>
      </c>
      <c r="B18" s="8">
        <v>61346.24</v>
      </c>
      <c r="C18" s="13">
        <v>52500.42</v>
      </c>
      <c r="D18" s="8">
        <f t="shared" si="0"/>
        <v>8845.82</v>
      </c>
    </row>
    <row r="19" spans="1:4" ht="12.75">
      <c r="A19" s="9" t="s">
        <v>51</v>
      </c>
      <c r="B19" s="8">
        <v>61346.32</v>
      </c>
      <c r="C19" s="13">
        <v>59793.83</v>
      </c>
      <c r="D19" s="8">
        <f t="shared" si="0"/>
        <v>1552.489999999998</v>
      </c>
    </row>
    <row r="20" spans="1:4" ht="12.75">
      <c r="A20" s="9" t="s">
        <v>52</v>
      </c>
      <c r="B20" s="8">
        <v>53502.87</v>
      </c>
      <c r="C20" s="13">
        <v>48680.25</v>
      </c>
      <c r="D20" s="8">
        <f t="shared" si="0"/>
        <v>4822.620000000003</v>
      </c>
    </row>
    <row r="21" spans="1:4" ht="12.75">
      <c r="A21" s="9" t="s">
        <v>53</v>
      </c>
      <c r="B21" s="8">
        <v>53502.87</v>
      </c>
      <c r="C21" s="13">
        <v>47379.2</v>
      </c>
      <c r="D21" s="8">
        <f t="shared" si="0"/>
        <v>6123.6700000000055</v>
      </c>
    </row>
    <row r="22" spans="1:4" ht="12.75">
      <c r="A22" s="9" t="s">
        <v>54</v>
      </c>
      <c r="B22" s="8">
        <v>53502.87</v>
      </c>
      <c r="C22" s="13">
        <v>47888.73</v>
      </c>
      <c r="D22" s="8">
        <f t="shared" si="0"/>
        <v>5614.139999999999</v>
      </c>
    </row>
    <row r="23" spans="1:4" ht="12.75">
      <c r="A23" s="9" t="s">
        <v>55</v>
      </c>
      <c r="B23" s="8">
        <v>53502.87</v>
      </c>
      <c r="C23" s="13">
        <v>53626.89</v>
      </c>
      <c r="D23" s="13">
        <f t="shared" si="0"/>
        <v>-124.0199999999968</v>
      </c>
    </row>
    <row r="24" spans="1:4" ht="12.75">
      <c r="A24" s="9" t="s">
        <v>56</v>
      </c>
      <c r="B24" s="8">
        <v>53502.87</v>
      </c>
      <c r="C24" s="13">
        <v>58605.03</v>
      </c>
      <c r="D24" s="13">
        <f t="shared" si="0"/>
        <v>-5102.159999999996</v>
      </c>
    </row>
    <row r="25" spans="1:4" ht="12.75">
      <c r="A25" s="9" t="s">
        <v>57</v>
      </c>
      <c r="B25" s="8">
        <v>53355.76</v>
      </c>
      <c r="C25" s="13">
        <v>43703.93</v>
      </c>
      <c r="D25" s="13">
        <f t="shared" si="0"/>
        <v>9651.830000000002</v>
      </c>
    </row>
    <row r="26" spans="1:4" ht="12.75">
      <c r="A26" s="7" t="s">
        <v>58</v>
      </c>
      <c r="B26" s="8">
        <f>SUM(B27:B38)</f>
        <v>720.2399999999998</v>
      </c>
      <c r="C26" s="8">
        <f>SUM(C27:C38)</f>
        <v>708.2900000000001</v>
      </c>
      <c r="D26" s="8">
        <f>SUM(D27:D38)</f>
        <v>11.949999999999989</v>
      </c>
    </row>
    <row r="27" spans="1:4" ht="12.75">
      <c r="A27" s="9" t="s">
        <v>59</v>
      </c>
      <c r="B27" s="8">
        <v>61.74</v>
      </c>
      <c r="C27" s="8">
        <v>74.34</v>
      </c>
      <c r="D27" s="8">
        <f aca="true" t="shared" si="1" ref="D27:D38">B27-C27</f>
        <v>-12.600000000000001</v>
      </c>
    </row>
    <row r="28" spans="1:4" ht="12.75">
      <c r="A28" s="9" t="s">
        <v>47</v>
      </c>
      <c r="B28" s="8">
        <v>61.74</v>
      </c>
      <c r="C28" s="13">
        <v>54.85</v>
      </c>
      <c r="D28" s="8">
        <f t="shared" si="1"/>
        <v>6.890000000000001</v>
      </c>
    </row>
    <row r="29" spans="1:4" ht="12.75">
      <c r="A29" s="9" t="s">
        <v>48</v>
      </c>
      <c r="B29" s="8">
        <v>61.74</v>
      </c>
      <c r="C29" s="13">
        <v>57.42</v>
      </c>
      <c r="D29" s="8">
        <f t="shared" si="1"/>
        <v>4.32</v>
      </c>
    </row>
    <row r="30" spans="1:4" ht="12.75">
      <c r="A30" s="9" t="s">
        <v>49</v>
      </c>
      <c r="B30" s="8">
        <v>61.74</v>
      </c>
      <c r="C30" s="13">
        <v>56.88</v>
      </c>
      <c r="D30" s="8">
        <f t="shared" si="1"/>
        <v>4.859999999999999</v>
      </c>
    </row>
    <row r="31" spans="1:4" ht="12.75">
      <c r="A31" s="9" t="s">
        <v>50</v>
      </c>
      <c r="B31" s="8">
        <v>59.16</v>
      </c>
      <c r="C31" s="13">
        <v>54.62</v>
      </c>
      <c r="D31" s="8">
        <f t="shared" si="1"/>
        <v>4.539999999999999</v>
      </c>
    </row>
    <row r="32" spans="1:4" ht="12.75">
      <c r="A32" s="9" t="s">
        <v>51</v>
      </c>
      <c r="B32" s="8">
        <v>59.16</v>
      </c>
      <c r="C32" s="13">
        <v>64.24</v>
      </c>
      <c r="D32" s="8">
        <f t="shared" si="1"/>
        <v>-5.079999999999998</v>
      </c>
    </row>
    <row r="33" spans="1:4" ht="12.75">
      <c r="A33" s="9" t="s">
        <v>52</v>
      </c>
      <c r="B33" s="8">
        <v>59.16</v>
      </c>
      <c r="C33" s="13">
        <v>50.44</v>
      </c>
      <c r="D33" s="8">
        <f t="shared" si="1"/>
        <v>8.719999999999999</v>
      </c>
    </row>
    <row r="34" spans="1:4" ht="12.75">
      <c r="A34" s="9" t="s">
        <v>53</v>
      </c>
      <c r="B34" s="8">
        <v>59.16</v>
      </c>
      <c r="C34" s="13">
        <v>54.54</v>
      </c>
      <c r="D34" s="8">
        <f t="shared" si="1"/>
        <v>4.619999999999997</v>
      </c>
    </row>
    <row r="35" spans="1:4" ht="12.75">
      <c r="A35" s="9" t="s">
        <v>54</v>
      </c>
      <c r="B35" s="8">
        <v>59.16</v>
      </c>
      <c r="C35" s="13">
        <v>62.48</v>
      </c>
      <c r="D35" s="8">
        <f t="shared" si="1"/>
        <v>-3.3200000000000003</v>
      </c>
    </row>
    <row r="36" spans="1:4" ht="12.75">
      <c r="A36" s="9" t="s">
        <v>55</v>
      </c>
      <c r="B36" s="8">
        <v>59.16</v>
      </c>
      <c r="C36" s="13">
        <v>70.56</v>
      </c>
      <c r="D36" s="13">
        <f t="shared" si="1"/>
        <v>-11.400000000000006</v>
      </c>
    </row>
    <row r="37" spans="1:4" ht="12.75">
      <c r="A37" s="9" t="s">
        <v>56</v>
      </c>
      <c r="B37" s="8">
        <v>59.16</v>
      </c>
      <c r="C37" s="13">
        <v>55.05</v>
      </c>
      <c r="D37" s="13">
        <f t="shared" si="1"/>
        <v>4.109999999999999</v>
      </c>
    </row>
    <row r="38" spans="1:4" ht="12.75">
      <c r="A38" s="9" t="s">
        <v>57</v>
      </c>
      <c r="B38" s="8">
        <v>59.16</v>
      </c>
      <c r="C38" s="13">
        <v>52.87</v>
      </c>
      <c r="D38" s="13">
        <f t="shared" si="1"/>
        <v>6.289999999999999</v>
      </c>
    </row>
    <row r="39" spans="1:4" ht="12.75">
      <c r="A39" s="9" t="s">
        <v>60</v>
      </c>
      <c r="B39" s="8">
        <f>B13+B26</f>
        <v>688168.23</v>
      </c>
      <c r="C39" s="8">
        <f>C13+C26</f>
        <v>644596.3400000001</v>
      </c>
      <c r="D39" s="8">
        <f>D13+D26</f>
        <v>43571.89000000002</v>
      </c>
    </row>
    <row r="41" spans="1:4" ht="12.75">
      <c r="A41" t="s">
        <v>61</v>
      </c>
      <c r="D41" s="12">
        <f>D39</f>
        <v>43571.89000000002</v>
      </c>
    </row>
    <row r="43" spans="1:4" ht="12.75">
      <c r="A43" s="11" t="s">
        <v>62</v>
      </c>
      <c r="D43" s="12">
        <f>D44+D45</f>
        <v>56186.53200000001</v>
      </c>
    </row>
    <row r="44" spans="1:4" ht="12.75">
      <c r="A44" s="11" t="s">
        <v>63</v>
      </c>
      <c r="D44" s="12">
        <f>(1.33*12*D5)</f>
        <v>47597.50800000001</v>
      </c>
    </row>
    <row r="45" spans="1:4" ht="12.75">
      <c r="A45" s="11" t="s">
        <v>64</v>
      </c>
      <c r="D45" s="12">
        <f>(0.24*12*D5)</f>
        <v>8589.024</v>
      </c>
    </row>
    <row r="46" spans="1:4" ht="12.75">
      <c r="A46" s="11" t="s">
        <v>65</v>
      </c>
      <c r="D46" s="12">
        <v>0</v>
      </c>
    </row>
    <row r="47" spans="1:4" ht="12.75">
      <c r="A47" s="11" t="s">
        <v>109</v>
      </c>
      <c r="D47" s="12">
        <f>1412.2*0.22*4+(1412.2*2.5)</f>
        <v>4773.236</v>
      </c>
    </row>
    <row r="48" spans="1:4" ht="12.75">
      <c r="A48" s="11" t="s">
        <v>121</v>
      </c>
      <c r="D48" s="12">
        <f>(2.66*6*D5)</f>
        <v>47597.50800000001</v>
      </c>
    </row>
    <row r="49" spans="1:4" ht="12.75">
      <c r="A49" s="11" t="s">
        <v>66</v>
      </c>
      <c r="D49" s="12">
        <v>0</v>
      </c>
    </row>
    <row r="50" spans="1:4" ht="12.75">
      <c r="A50" s="11" t="s">
        <v>108</v>
      </c>
      <c r="D50" s="12">
        <f>(0.72*3*D5)</f>
        <v>6441.768000000001</v>
      </c>
    </row>
    <row r="51" spans="1:4" ht="12.75">
      <c r="A51" s="11" t="s">
        <v>67</v>
      </c>
      <c r="D51" s="12">
        <f>(1.45*12*D5)</f>
        <v>51892.02</v>
      </c>
    </row>
    <row r="52" spans="1:4" ht="12.75">
      <c r="A52" s="11" t="s">
        <v>68</v>
      </c>
      <c r="D52" s="12">
        <f>(5.11*12*D5)</f>
        <v>182874.63600000003</v>
      </c>
    </row>
    <row r="53" spans="1:4" ht="12.75">
      <c r="A53" s="11" t="s">
        <v>69</v>
      </c>
      <c r="D53" s="12">
        <v>0</v>
      </c>
    </row>
    <row r="54" spans="1:4" ht="12.75">
      <c r="A54" s="11" t="s">
        <v>110</v>
      </c>
      <c r="D54" s="12">
        <f>(3.87*12*D5)</f>
        <v>138498.012</v>
      </c>
    </row>
    <row r="55" spans="1:4" ht="12.75">
      <c r="A55" s="11" t="s">
        <v>70</v>
      </c>
      <c r="D55" s="12">
        <f>2.25*12*D6</f>
        <v>3672</v>
      </c>
    </row>
    <row r="56" spans="1:4" ht="12.75">
      <c r="A56" s="11" t="s">
        <v>71</v>
      </c>
      <c r="D56" s="12">
        <v>33184</v>
      </c>
    </row>
    <row r="57" spans="1:4" ht="12.75">
      <c r="A57" s="11" t="s">
        <v>72</v>
      </c>
      <c r="D57" s="12">
        <f>(0.63*12*D5)</f>
        <v>22546.188000000002</v>
      </c>
    </row>
    <row r="58" spans="1:4" ht="12.75" hidden="1">
      <c r="A58" s="14" t="s">
        <v>96</v>
      </c>
      <c r="D58" s="12">
        <v>0</v>
      </c>
    </row>
    <row r="59" spans="1:4" ht="12.75">
      <c r="A59" s="11"/>
      <c r="D59" s="12"/>
    </row>
    <row r="60" spans="1:4" ht="12.75">
      <c r="A60" s="11" t="s">
        <v>73</v>
      </c>
      <c r="D60" s="12">
        <f>D43+D46+D47+D48+D49+D50+D51+D52+D53+D54+D55+D56+D57</f>
        <v>547665.9</v>
      </c>
    </row>
    <row r="61" spans="1:4" ht="12.75">
      <c r="A61" s="11"/>
      <c r="D61" s="12"/>
    </row>
    <row r="62" spans="1:4" ht="12.75">
      <c r="A62" t="s">
        <v>99</v>
      </c>
      <c r="D62" s="12">
        <f>C39-D60</f>
        <v>96930.44000000006</v>
      </c>
    </row>
    <row r="64" spans="1:2" ht="12.75" hidden="1">
      <c r="A64">
        <v>1425</v>
      </c>
      <c r="B64" t="s">
        <v>127</v>
      </c>
    </row>
    <row r="65" spans="1:2" ht="12.75" hidden="1">
      <c r="A65">
        <v>3043</v>
      </c>
      <c r="B65" t="s">
        <v>23</v>
      </c>
    </row>
    <row r="66" spans="1:2" ht="12.75" hidden="1">
      <c r="A66">
        <v>1631</v>
      </c>
      <c r="B66" t="s">
        <v>27</v>
      </c>
    </row>
    <row r="67" spans="1:2" ht="12.75" hidden="1">
      <c r="A67">
        <v>802</v>
      </c>
      <c r="B67" t="s">
        <v>171</v>
      </c>
    </row>
    <row r="68" spans="1:2" ht="12.75" hidden="1">
      <c r="A68">
        <v>4104</v>
      </c>
      <c r="B68" t="s">
        <v>126</v>
      </c>
    </row>
    <row r="69" spans="1:2" ht="12.75" hidden="1">
      <c r="A69">
        <v>4883</v>
      </c>
      <c r="B69" t="s">
        <v>126</v>
      </c>
    </row>
    <row r="70" spans="1:2" ht="12.75" hidden="1">
      <c r="A70">
        <v>7589</v>
      </c>
      <c r="B70" t="s">
        <v>23</v>
      </c>
    </row>
    <row r="71" spans="1:2" ht="12.75" hidden="1">
      <c r="A71">
        <v>9707</v>
      </c>
      <c r="B71" t="s">
        <v>212</v>
      </c>
    </row>
    <row r="72" ht="12.75" hidden="1">
      <c r="A72">
        <f>SUM(A64:A71)</f>
        <v>33184</v>
      </c>
    </row>
    <row r="80" ht="12.75" hidden="1"/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2"/>
  </sheetPr>
  <dimension ref="A1:G79"/>
  <sheetViews>
    <sheetView zoomScalePageLayoutView="0" workbookViewId="0" topLeftCell="A43">
      <selection activeCell="A73" sqref="A73:IV81"/>
    </sheetView>
  </sheetViews>
  <sheetFormatPr defaultColWidth="9.140625" defaultRowHeight="12.75"/>
  <cols>
    <col min="2" max="2" width="12.421875" style="0" bestFit="1" customWidth="1"/>
    <col min="3" max="3" width="13.28125" style="0" bestFit="1" customWidth="1"/>
    <col min="4" max="4" width="12.00390625" style="0" bestFit="1" customWidth="1"/>
  </cols>
  <sheetData>
    <row r="1" ht="12.75">
      <c r="A1" t="s">
        <v>14</v>
      </c>
    </row>
    <row r="2" ht="12.75">
      <c r="A2" t="s">
        <v>4</v>
      </c>
    </row>
    <row r="3" spans="1:7" ht="12.75">
      <c r="A3" s="1" t="s">
        <v>34</v>
      </c>
      <c r="B3" s="2" t="s">
        <v>35</v>
      </c>
      <c r="C3" s="1" t="s">
        <v>97</v>
      </c>
      <c r="D3" s="1"/>
      <c r="E3" s="1" t="s">
        <v>36</v>
      </c>
      <c r="F3" s="3">
        <v>3</v>
      </c>
      <c r="G3" s="21">
        <v>2018</v>
      </c>
    </row>
    <row r="5" spans="1:5" ht="12.75">
      <c r="A5" t="s">
        <v>37</v>
      </c>
      <c r="D5" s="4">
        <v>3036.8</v>
      </c>
      <c r="E5" s="5" t="s">
        <v>74</v>
      </c>
    </row>
    <row r="6" spans="1:5" ht="12.75">
      <c r="A6" t="s">
        <v>38</v>
      </c>
      <c r="D6" s="4">
        <v>59</v>
      </c>
      <c r="E6" s="5"/>
    </row>
    <row r="7" spans="1:5" ht="12.75">
      <c r="A7" t="s">
        <v>39</v>
      </c>
      <c r="D7" s="4">
        <v>217</v>
      </c>
      <c r="E7" s="5" t="s">
        <v>40</v>
      </c>
    </row>
    <row r="8" spans="1:5" ht="12.75">
      <c r="A8" t="s">
        <v>41</v>
      </c>
      <c r="D8" s="4">
        <v>240.3</v>
      </c>
      <c r="E8" s="5" t="s">
        <v>74</v>
      </c>
    </row>
    <row r="9" spans="1:5" ht="12.75">
      <c r="A9" t="s">
        <v>42</v>
      </c>
      <c r="D9" s="4">
        <v>3196</v>
      </c>
      <c r="E9" s="5" t="s">
        <v>74</v>
      </c>
    </row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780704.8799999999</v>
      </c>
      <c r="C13" s="8">
        <f>SUM(C14:C25)</f>
        <v>734051.2</v>
      </c>
      <c r="D13" s="8">
        <f>SUM(D14:D25)</f>
        <v>46653.680000000015</v>
      </c>
    </row>
    <row r="14" spans="1:4" ht="12.75">
      <c r="A14" s="9" t="s">
        <v>59</v>
      </c>
      <c r="B14" s="8">
        <v>69052.16</v>
      </c>
      <c r="C14" s="8">
        <v>60344.68</v>
      </c>
      <c r="D14" s="8">
        <f aca="true" t="shared" si="0" ref="D14:D25">B14-C14</f>
        <v>8707.480000000003</v>
      </c>
    </row>
    <row r="15" spans="1:4" ht="12.75">
      <c r="A15" s="9" t="s">
        <v>47</v>
      </c>
      <c r="B15" s="8">
        <v>69052.16</v>
      </c>
      <c r="C15" s="13">
        <v>72139.35</v>
      </c>
      <c r="D15" s="8">
        <f t="shared" si="0"/>
        <v>-3087.1900000000023</v>
      </c>
    </row>
    <row r="16" spans="1:4" ht="12.75">
      <c r="A16" s="9" t="s">
        <v>48</v>
      </c>
      <c r="B16" s="8">
        <v>69052.16</v>
      </c>
      <c r="C16" s="13">
        <v>62744.81</v>
      </c>
      <c r="D16" s="8">
        <f t="shared" si="0"/>
        <v>6307.350000000006</v>
      </c>
    </row>
    <row r="17" spans="1:4" ht="12.75">
      <c r="A17" s="9" t="s">
        <v>49</v>
      </c>
      <c r="B17" s="8">
        <v>69052.16</v>
      </c>
      <c r="C17" s="13">
        <v>62032.25</v>
      </c>
      <c r="D17" s="8">
        <f t="shared" si="0"/>
        <v>7019.9100000000035</v>
      </c>
    </row>
    <row r="18" spans="1:4" ht="12.75">
      <c r="A18" s="9" t="s">
        <v>50</v>
      </c>
      <c r="B18" s="8">
        <v>69052.16</v>
      </c>
      <c r="C18" s="13">
        <v>59773.42</v>
      </c>
      <c r="D18" s="8">
        <f t="shared" si="0"/>
        <v>9278.740000000005</v>
      </c>
    </row>
    <row r="19" spans="1:4" ht="12.75">
      <c r="A19" s="9" t="s">
        <v>51</v>
      </c>
      <c r="B19" s="8">
        <v>69052.16</v>
      </c>
      <c r="C19" s="13">
        <v>63852.44</v>
      </c>
      <c r="D19" s="8">
        <f t="shared" si="0"/>
        <v>5199.720000000001</v>
      </c>
    </row>
    <row r="20" spans="1:4" ht="12.75">
      <c r="A20" s="9" t="s">
        <v>52</v>
      </c>
      <c r="B20" s="8">
        <v>61065.32</v>
      </c>
      <c r="C20" s="13">
        <v>58816.82</v>
      </c>
      <c r="D20" s="8">
        <f t="shared" si="0"/>
        <v>2248.5</v>
      </c>
    </row>
    <row r="21" spans="1:4" ht="12.75">
      <c r="A21" s="9" t="s">
        <v>53</v>
      </c>
      <c r="B21" s="8">
        <v>61065.32</v>
      </c>
      <c r="C21" s="13">
        <v>51555.22</v>
      </c>
      <c r="D21" s="8">
        <f t="shared" si="0"/>
        <v>9510.099999999999</v>
      </c>
    </row>
    <row r="22" spans="1:4" ht="12.75">
      <c r="A22" s="9" t="s">
        <v>54</v>
      </c>
      <c r="B22" s="8">
        <v>61065.32</v>
      </c>
      <c r="C22" s="13">
        <v>60404.02</v>
      </c>
      <c r="D22" s="8">
        <f t="shared" si="0"/>
        <v>661.3000000000029</v>
      </c>
    </row>
    <row r="23" spans="1:4" ht="12.75">
      <c r="A23" s="9" t="s">
        <v>55</v>
      </c>
      <c r="B23" s="8">
        <v>61065.32</v>
      </c>
      <c r="C23" s="13">
        <v>64046.83</v>
      </c>
      <c r="D23" s="13">
        <f t="shared" si="0"/>
        <v>-2981.510000000002</v>
      </c>
    </row>
    <row r="24" spans="1:4" ht="12.75">
      <c r="A24" s="9" t="s">
        <v>56</v>
      </c>
      <c r="B24" s="8">
        <v>61065.32</v>
      </c>
      <c r="C24" s="13">
        <v>59101.83</v>
      </c>
      <c r="D24" s="13">
        <f t="shared" si="0"/>
        <v>1963.489999999998</v>
      </c>
    </row>
    <row r="25" spans="1:4" ht="12.75">
      <c r="A25" s="9" t="s">
        <v>57</v>
      </c>
      <c r="B25" s="8">
        <v>61065.32</v>
      </c>
      <c r="C25" s="13">
        <v>59239.53</v>
      </c>
      <c r="D25" s="13">
        <f t="shared" si="0"/>
        <v>1825.7900000000009</v>
      </c>
    </row>
    <row r="26" spans="1:4" ht="12.75">
      <c r="A26" s="7" t="s">
        <v>58</v>
      </c>
      <c r="B26" s="8">
        <f>SUM(B27:B38)</f>
        <v>596.28</v>
      </c>
      <c r="C26" s="8">
        <f>SUM(C27:C38)</f>
        <v>505.85</v>
      </c>
      <c r="D26" s="8">
        <f>SUM(D27:D38)</f>
        <v>90.42999999999996</v>
      </c>
    </row>
    <row r="27" spans="1:4" ht="12.75">
      <c r="A27" s="9" t="s">
        <v>59</v>
      </c>
      <c r="B27" s="8">
        <v>49.69</v>
      </c>
      <c r="C27" s="8">
        <v>38.13</v>
      </c>
      <c r="D27" s="8">
        <f aca="true" t="shared" si="1" ref="D27:D38">B27-C27</f>
        <v>11.559999999999995</v>
      </c>
    </row>
    <row r="28" spans="1:4" ht="12.75">
      <c r="A28" s="9" t="s">
        <v>47</v>
      </c>
      <c r="B28" s="8">
        <v>49.69</v>
      </c>
      <c r="C28" s="13">
        <v>48.88</v>
      </c>
      <c r="D28" s="8">
        <f t="shared" si="1"/>
        <v>0.8099999999999952</v>
      </c>
    </row>
    <row r="29" spans="1:4" ht="12.75">
      <c r="A29" s="9" t="s">
        <v>48</v>
      </c>
      <c r="B29" s="8">
        <v>49.69</v>
      </c>
      <c r="C29" s="13">
        <v>38.8</v>
      </c>
      <c r="D29" s="8">
        <f t="shared" si="1"/>
        <v>10.89</v>
      </c>
    </row>
    <row r="30" spans="1:4" ht="12.75">
      <c r="A30" s="9" t="s">
        <v>49</v>
      </c>
      <c r="B30" s="8">
        <v>49.69</v>
      </c>
      <c r="C30" s="13">
        <v>30.26</v>
      </c>
      <c r="D30" s="8">
        <f t="shared" si="1"/>
        <v>19.429999999999996</v>
      </c>
    </row>
    <row r="31" spans="1:4" ht="12.75">
      <c r="A31" s="9" t="s">
        <v>50</v>
      </c>
      <c r="B31" s="8">
        <v>49.69</v>
      </c>
      <c r="C31" s="13">
        <v>44.59</v>
      </c>
      <c r="D31" s="8">
        <f t="shared" si="1"/>
        <v>5.099999999999994</v>
      </c>
    </row>
    <row r="32" spans="1:4" ht="12.75">
      <c r="A32" s="9" t="s">
        <v>51</v>
      </c>
      <c r="B32" s="8">
        <v>49.69</v>
      </c>
      <c r="C32" s="13">
        <v>35.26</v>
      </c>
      <c r="D32" s="8">
        <f t="shared" si="1"/>
        <v>14.43</v>
      </c>
    </row>
    <row r="33" spans="1:4" ht="12.75">
      <c r="A33" s="9" t="s">
        <v>52</v>
      </c>
      <c r="B33" s="8">
        <v>49.69</v>
      </c>
      <c r="C33" s="13">
        <v>38.98</v>
      </c>
      <c r="D33" s="8">
        <f t="shared" si="1"/>
        <v>10.71</v>
      </c>
    </row>
    <row r="34" spans="1:4" ht="12.75">
      <c r="A34" s="9" t="s">
        <v>53</v>
      </c>
      <c r="B34" s="8">
        <v>49.69</v>
      </c>
      <c r="C34" s="13">
        <v>34.36</v>
      </c>
      <c r="D34" s="8">
        <f t="shared" si="1"/>
        <v>15.329999999999998</v>
      </c>
    </row>
    <row r="35" spans="1:4" ht="12.75">
      <c r="A35" s="9" t="s">
        <v>54</v>
      </c>
      <c r="B35" s="8">
        <v>49.69</v>
      </c>
      <c r="C35" s="13">
        <v>34.6</v>
      </c>
      <c r="D35" s="8">
        <f t="shared" si="1"/>
        <v>15.089999999999996</v>
      </c>
    </row>
    <row r="36" spans="1:4" ht="12.75">
      <c r="A36" s="9" t="s">
        <v>55</v>
      </c>
      <c r="B36" s="8">
        <v>49.69</v>
      </c>
      <c r="C36" s="13">
        <v>58.35</v>
      </c>
      <c r="D36" s="13">
        <f t="shared" si="1"/>
        <v>-8.660000000000004</v>
      </c>
    </row>
    <row r="37" spans="1:4" ht="12.75">
      <c r="A37" s="9" t="s">
        <v>56</v>
      </c>
      <c r="B37" s="8">
        <v>49.69</v>
      </c>
      <c r="C37" s="13">
        <v>43.83</v>
      </c>
      <c r="D37" s="13">
        <f t="shared" si="1"/>
        <v>5.859999999999999</v>
      </c>
    </row>
    <row r="38" spans="1:4" ht="12.75">
      <c r="A38" s="9" t="s">
        <v>57</v>
      </c>
      <c r="B38" s="8">
        <v>49.69</v>
      </c>
      <c r="C38" s="13">
        <v>59.81</v>
      </c>
      <c r="D38" s="13">
        <f t="shared" si="1"/>
        <v>-10.120000000000005</v>
      </c>
    </row>
    <row r="39" spans="1:4" ht="12.75">
      <c r="A39" s="7" t="s">
        <v>75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>
      <c r="A40" s="9" t="s">
        <v>56</v>
      </c>
      <c r="B40" s="13"/>
      <c r="C40" s="13"/>
      <c r="D40" s="13">
        <f>B40-C40</f>
        <v>0</v>
      </c>
    </row>
    <row r="41" spans="1:4" ht="12.75">
      <c r="A41" s="9" t="s">
        <v>57</v>
      </c>
      <c r="B41" s="13"/>
      <c r="C41" s="13"/>
      <c r="D41" s="13">
        <f>B41-C41</f>
        <v>0</v>
      </c>
    </row>
    <row r="42" spans="1:4" ht="12.75">
      <c r="A42" s="7" t="s">
        <v>76</v>
      </c>
      <c r="B42" s="13">
        <f>B43+B44+B45+B46+B47</f>
        <v>0</v>
      </c>
      <c r="C42" s="13">
        <f>C43+C44+C45+C46+C47</f>
        <v>0</v>
      </c>
      <c r="D42" s="13">
        <f>SUM(D43:D47)</f>
        <v>0</v>
      </c>
    </row>
    <row r="43" spans="1:4" ht="12.75">
      <c r="A43" s="9" t="s">
        <v>53</v>
      </c>
      <c r="B43" s="8"/>
      <c r="C43" s="8"/>
      <c r="D43" s="8">
        <f>B43-C43</f>
        <v>0</v>
      </c>
    </row>
    <row r="44" spans="1:4" ht="12.75">
      <c r="A44" s="9" t="s">
        <v>54</v>
      </c>
      <c r="B44" s="13"/>
      <c r="C44" s="13"/>
      <c r="D44" s="8">
        <f>B44-C44</f>
        <v>0</v>
      </c>
    </row>
    <row r="45" spans="1:4" ht="12.75">
      <c r="A45" s="9" t="s">
        <v>55</v>
      </c>
      <c r="B45" s="13"/>
      <c r="C45" s="13"/>
      <c r="D45" s="13">
        <f>B45-C45</f>
        <v>0</v>
      </c>
    </row>
    <row r="46" spans="1:4" ht="12.75">
      <c r="A46" s="9" t="s">
        <v>56</v>
      </c>
      <c r="B46" s="13"/>
      <c r="C46" s="13"/>
      <c r="D46" s="13">
        <f>B46-C46</f>
        <v>0</v>
      </c>
    </row>
    <row r="47" spans="1:4" ht="12.75">
      <c r="A47" s="9" t="s">
        <v>57</v>
      </c>
      <c r="B47" s="13"/>
      <c r="C47" s="13"/>
      <c r="D47" s="13">
        <f>B47-C47</f>
        <v>0</v>
      </c>
    </row>
    <row r="48" spans="1:4" ht="12.75">
      <c r="A48" s="9" t="s">
        <v>60</v>
      </c>
      <c r="B48" s="8">
        <f>B13+B26</f>
        <v>781301.1599999999</v>
      </c>
      <c r="C48" s="8">
        <f>C13+C26</f>
        <v>734557.0499999999</v>
      </c>
      <c r="D48" s="8">
        <f>D13+D26</f>
        <v>46744.110000000015</v>
      </c>
    </row>
    <row r="50" spans="1:4" ht="12.75">
      <c r="A50" t="s">
        <v>61</v>
      </c>
      <c r="D50" s="12">
        <f>D48</f>
        <v>46744.110000000015</v>
      </c>
    </row>
    <row r="52" spans="1:4" ht="12.75">
      <c r="A52" s="11" t="s">
        <v>62</v>
      </c>
      <c r="D52" s="12">
        <f>D53+D54</f>
        <v>57213.312000000005</v>
      </c>
    </row>
    <row r="53" spans="1:4" ht="12.75">
      <c r="A53" s="11" t="s">
        <v>63</v>
      </c>
      <c r="D53" s="12">
        <f>(1.33*12*D5)</f>
        <v>48467.32800000001</v>
      </c>
    </row>
    <row r="54" spans="1:4" ht="12.75">
      <c r="A54" s="11" t="s">
        <v>64</v>
      </c>
      <c r="D54" s="12">
        <f>(0.24*12*D5)</f>
        <v>8745.984</v>
      </c>
    </row>
    <row r="55" spans="1:4" ht="12.75">
      <c r="A55" s="11" t="s">
        <v>65</v>
      </c>
      <c r="D55" s="12">
        <v>0</v>
      </c>
    </row>
    <row r="56" spans="1:4" ht="12.75">
      <c r="A56" s="11" t="s">
        <v>109</v>
      </c>
      <c r="D56" s="12">
        <f>1470*0.22*4+(1470*2.5)</f>
        <v>4968.6</v>
      </c>
    </row>
    <row r="57" spans="1:4" ht="12.75">
      <c r="A57" s="11" t="s">
        <v>121</v>
      </c>
      <c r="D57" s="12">
        <f>(2.66*6*D5)</f>
        <v>48467.32800000001</v>
      </c>
    </row>
    <row r="58" spans="1:4" ht="12.75">
      <c r="A58" s="11" t="s">
        <v>66</v>
      </c>
      <c r="D58" s="12">
        <v>0</v>
      </c>
    </row>
    <row r="59" spans="1:4" ht="12.75">
      <c r="A59" s="11" t="s">
        <v>108</v>
      </c>
      <c r="D59" s="12">
        <f>(0.72*3*D5)</f>
        <v>6559.488000000001</v>
      </c>
    </row>
    <row r="60" spans="1:4" ht="12.75">
      <c r="A60" s="11" t="s">
        <v>67</v>
      </c>
      <c r="D60" s="12">
        <f>(1.45*12*D5)</f>
        <v>52840.32</v>
      </c>
    </row>
    <row r="61" spans="1:4" ht="12.75">
      <c r="A61" s="11" t="s">
        <v>68</v>
      </c>
      <c r="D61" s="12">
        <f>(5.83*12*D5)</f>
        <v>212454.52800000005</v>
      </c>
    </row>
    <row r="62" spans="1:4" ht="12.75">
      <c r="A62" s="11" t="s">
        <v>69</v>
      </c>
      <c r="D62" s="12">
        <f>(0.29*12*D5)</f>
        <v>10568.063999999998</v>
      </c>
    </row>
    <row r="63" spans="1:4" ht="12.75">
      <c r="A63" s="11" t="s">
        <v>110</v>
      </c>
      <c r="D63" s="12">
        <f>(3.87*12*D5)</f>
        <v>141028.992</v>
      </c>
    </row>
    <row r="64" spans="1:4" ht="12.75">
      <c r="A64" s="11" t="s">
        <v>70</v>
      </c>
      <c r="D64" s="12">
        <f>2.25*12*D6</f>
        <v>1593</v>
      </c>
    </row>
    <row r="65" spans="1:4" ht="12.75">
      <c r="A65" s="11" t="s">
        <v>71</v>
      </c>
      <c r="D65" s="12">
        <v>12142</v>
      </c>
    </row>
    <row r="66" spans="1:4" ht="12.75">
      <c r="A66" s="11" t="s">
        <v>72</v>
      </c>
      <c r="D66" s="12">
        <f>(0.91*12*D5)</f>
        <v>33161.856</v>
      </c>
    </row>
    <row r="67" spans="1:4" ht="12.75" hidden="1">
      <c r="A67" s="14" t="s">
        <v>96</v>
      </c>
      <c r="D67" s="12">
        <v>0</v>
      </c>
    </row>
    <row r="68" spans="1:4" ht="12.75">
      <c r="A68" s="11"/>
      <c r="D68" s="12"/>
    </row>
    <row r="69" spans="1:4" ht="12.75">
      <c r="A69" s="11" t="s">
        <v>73</v>
      </c>
      <c r="D69" s="12">
        <f>D52+D55+D56+D57+D58+D59+D60+D61+D62+D63+D64+D65+D66+D67</f>
        <v>580997.4880000001</v>
      </c>
    </row>
    <row r="70" spans="1:4" ht="12.75">
      <c r="A70" s="11"/>
      <c r="D70" s="12"/>
    </row>
    <row r="71" spans="1:4" ht="12.75">
      <c r="A71" t="s">
        <v>103</v>
      </c>
      <c r="D71" s="12">
        <f>C48-D69</f>
        <v>153559.5619999998</v>
      </c>
    </row>
    <row r="73" spans="1:2" ht="12.75" hidden="1">
      <c r="A73">
        <v>241</v>
      </c>
      <c r="B73" t="s">
        <v>27</v>
      </c>
    </row>
    <row r="74" spans="1:2" ht="12.75" hidden="1">
      <c r="A74">
        <v>468</v>
      </c>
      <c r="B74" t="s">
        <v>27</v>
      </c>
    </row>
    <row r="75" spans="1:2" ht="12.75" hidden="1">
      <c r="A75">
        <v>586</v>
      </c>
      <c r="B75" t="s">
        <v>27</v>
      </c>
    </row>
    <row r="76" spans="1:2" ht="12.75" hidden="1">
      <c r="A76">
        <v>8370</v>
      </c>
      <c r="B76" t="s">
        <v>215</v>
      </c>
    </row>
    <row r="77" spans="1:2" ht="12.75" hidden="1">
      <c r="A77">
        <v>2019</v>
      </c>
      <c r="B77" t="s">
        <v>16</v>
      </c>
    </row>
    <row r="78" spans="1:2" ht="12.75" hidden="1">
      <c r="A78">
        <v>458</v>
      </c>
      <c r="B78" t="s">
        <v>27</v>
      </c>
    </row>
    <row r="79" ht="12.75" hidden="1">
      <c r="A79">
        <f>SUM(A73:A78)</f>
        <v>12142</v>
      </c>
    </row>
    <row r="80" ht="12.75" hidden="1"/>
    <row r="81" ht="12.75" hidden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2"/>
  </sheetPr>
  <dimension ref="A1:G90"/>
  <sheetViews>
    <sheetView zoomScalePageLayoutView="0" workbookViewId="0" topLeftCell="A55">
      <selection activeCell="A83" sqref="A83:IV91"/>
    </sheetView>
  </sheetViews>
  <sheetFormatPr defaultColWidth="9.140625" defaultRowHeight="12.75"/>
  <cols>
    <col min="2" max="2" width="12.421875" style="0" bestFit="1" customWidth="1"/>
    <col min="3" max="3" width="13.28125" style="0" bestFit="1" customWidth="1"/>
    <col min="4" max="4" width="12.28125" style="0" bestFit="1" customWidth="1"/>
  </cols>
  <sheetData>
    <row r="1" ht="12.75">
      <c r="A1" t="s">
        <v>14</v>
      </c>
    </row>
    <row r="2" ht="12.75">
      <c r="A2" t="s">
        <v>4</v>
      </c>
    </row>
    <row r="3" spans="1:7" ht="12.75">
      <c r="A3" s="1" t="s">
        <v>34</v>
      </c>
      <c r="B3" s="2" t="s">
        <v>35</v>
      </c>
      <c r="C3" s="1" t="s">
        <v>97</v>
      </c>
      <c r="D3" s="1"/>
      <c r="E3" s="1" t="s">
        <v>36</v>
      </c>
      <c r="F3" s="3">
        <v>4</v>
      </c>
      <c r="G3" s="21">
        <v>2018</v>
      </c>
    </row>
    <row r="5" spans="1:5" ht="12.75">
      <c r="A5" t="s">
        <v>37</v>
      </c>
      <c r="D5" s="4">
        <v>820.8</v>
      </c>
      <c r="E5" s="5" t="s">
        <v>74</v>
      </c>
    </row>
    <row r="6" spans="1:5" ht="12.75">
      <c r="A6" t="s">
        <v>38</v>
      </c>
      <c r="D6" s="4">
        <v>18</v>
      </c>
      <c r="E6" s="5"/>
    </row>
    <row r="7" spans="1:5" ht="12.75">
      <c r="A7" t="s">
        <v>39</v>
      </c>
      <c r="D7" s="4">
        <v>64</v>
      </c>
      <c r="E7" s="5" t="s">
        <v>40</v>
      </c>
    </row>
    <row r="8" spans="1:5" ht="12.75">
      <c r="A8" t="s">
        <v>41</v>
      </c>
      <c r="D8" s="4">
        <v>126.9</v>
      </c>
      <c r="E8" s="5" t="s">
        <v>74</v>
      </c>
    </row>
    <row r="9" spans="1:5" ht="12.75">
      <c r="A9" t="s">
        <v>42</v>
      </c>
      <c r="D9" s="4">
        <v>1585.2</v>
      </c>
      <c r="E9" s="5" t="s">
        <v>74</v>
      </c>
    </row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187268.04000000004</v>
      </c>
      <c r="C13" s="8">
        <f>SUM(C14:C25)</f>
        <v>161883.66</v>
      </c>
      <c r="D13" s="8">
        <f>SUM(D14:D25)</f>
        <v>25384.380000000012</v>
      </c>
    </row>
    <row r="14" spans="1:4" ht="12.75">
      <c r="A14" s="9" t="s">
        <v>59</v>
      </c>
      <c r="B14" s="8">
        <v>16684.83</v>
      </c>
      <c r="C14" s="8">
        <v>13629.19</v>
      </c>
      <c r="D14" s="8">
        <f aca="true" t="shared" si="0" ref="D14:D25">B14-C14</f>
        <v>3055.6400000000012</v>
      </c>
    </row>
    <row r="15" spans="1:4" ht="12.75">
      <c r="A15" s="9" t="s">
        <v>47</v>
      </c>
      <c r="B15" s="8">
        <v>16684.83</v>
      </c>
      <c r="C15" s="13">
        <v>15414.2</v>
      </c>
      <c r="D15" s="8">
        <f t="shared" si="0"/>
        <v>1270.630000000001</v>
      </c>
    </row>
    <row r="16" spans="1:4" ht="12.75">
      <c r="A16" s="9" t="s">
        <v>48</v>
      </c>
      <c r="B16" s="8">
        <v>16684.83</v>
      </c>
      <c r="C16" s="13">
        <v>13899.61</v>
      </c>
      <c r="D16" s="8">
        <f t="shared" si="0"/>
        <v>2785.220000000001</v>
      </c>
    </row>
    <row r="17" spans="1:4" ht="12.75">
      <c r="A17" s="9" t="s">
        <v>49</v>
      </c>
      <c r="B17" s="8">
        <v>16684.83</v>
      </c>
      <c r="C17" s="13">
        <v>13978.06</v>
      </c>
      <c r="D17" s="8">
        <f t="shared" si="0"/>
        <v>2706.7700000000023</v>
      </c>
    </row>
    <row r="18" spans="1:4" ht="12.75">
      <c r="A18" s="9" t="s">
        <v>50</v>
      </c>
      <c r="B18" s="8">
        <v>16684.83</v>
      </c>
      <c r="C18" s="13">
        <v>13879.54</v>
      </c>
      <c r="D18" s="8">
        <f t="shared" si="0"/>
        <v>2805.290000000001</v>
      </c>
    </row>
    <row r="19" spans="1:4" ht="12.75">
      <c r="A19" s="9" t="s">
        <v>51</v>
      </c>
      <c r="B19" s="8">
        <v>16684.83</v>
      </c>
      <c r="C19" s="13">
        <v>16330.13</v>
      </c>
      <c r="D19" s="8">
        <f t="shared" si="0"/>
        <v>354.70000000000255</v>
      </c>
    </row>
    <row r="20" spans="1:4" ht="12.75">
      <c r="A20" s="9" t="s">
        <v>52</v>
      </c>
      <c r="B20" s="8">
        <v>14526.51</v>
      </c>
      <c r="C20" s="13">
        <v>12643.2</v>
      </c>
      <c r="D20" s="8">
        <f t="shared" si="0"/>
        <v>1883.3099999999995</v>
      </c>
    </row>
    <row r="21" spans="1:4" ht="12.75">
      <c r="A21" s="9" t="s">
        <v>53</v>
      </c>
      <c r="B21" s="8">
        <v>14526.51</v>
      </c>
      <c r="C21" s="13">
        <v>12643.2</v>
      </c>
      <c r="D21" s="8">
        <f t="shared" si="0"/>
        <v>1883.3099999999995</v>
      </c>
    </row>
    <row r="22" spans="1:4" ht="12.75">
      <c r="A22" s="9" t="s">
        <v>54</v>
      </c>
      <c r="B22" s="8">
        <v>14526.51</v>
      </c>
      <c r="C22" s="13">
        <v>13749.47</v>
      </c>
      <c r="D22" s="8">
        <f t="shared" si="0"/>
        <v>777.0400000000009</v>
      </c>
    </row>
    <row r="23" spans="1:4" ht="12.75">
      <c r="A23" s="9" t="s">
        <v>55</v>
      </c>
      <c r="B23" s="8">
        <v>14526.51</v>
      </c>
      <c r="C23" s="13">
        <v>12036.93</v>
      </c>
      <c r="D23" s="13">
        <f t="shared" si="0"/>
        <v>2489.58</v>
      </c>
    </row>
    <row r="24" spans="1:4" ht="12.75">
      <c r="A24" s="9" t="s">
        <v>56</v>
      </c>
      <c r="B24" s="8">
        <v>14526.51</v>
      </c>
      <c r="C24" s="13">
        <v>12143.2</v>
      </c>
      <c r="D24" s="13">
        <f t="shared" si="0"/>
        <v>2383.3099999999995</v>
      </c>
    </row>
    <row r="25" spans="1:4" ht="12.75">
      <c r="A25" s="9" t="s">
        <v>57</v>
      </c>
      <c r="B25" s="8">
        <v>14526.51</v>
      </c>
      <c r="C25" s="13">
        <v>11536.93</v>
      </c>
      <c r="D25" s="13">
        <f t="shared" si="0"/>
        <v>2989.58</v>
      </c>
    </row>
    <row r="26" spans="1:4" ht="12.75">
      <c r="A26" s="7" t="s">
        <v>58</v>
      </c>
      <c r="B26" s="8">
        <f>SUM(B27:B38)</f>
        <v>244.92</v>
      </c>
      <c r="C26" s="8">
        <f>SUM(C27:C38)</f>
        <v>155.52000000000007</v>
      </c>
      <c r="D26" s="8">
        <f>SUM(D27:D38)</f>
        <v>89.40000000000002</v>
      </c>
    </row>
    <row r="27" spans="1:4" ht="12.75">
      <c r="A27" s="9" t="s">
        <v>59</v>
      </c>
      <c r="B27" s="8">
        <v>20.41</v>
      </c>
      <c r="C27" s="8">
        <v>12.96</v>
      </c>
      <c r="D27" s="8">
        <f aca="true" t="shared" si="1" ref="D27:D38">B27-C27</f>
        <v>7.449999999999999</v>
      </c>
    </row>
    <row r="28" spans="1:4" ht="12.75">
      <c r="A28" s="9" t="s">
        <v>47</v>
      </c>
      <c r="B28" s="8">
        <v>20.41</v>
      </c>
      <c r="C28" s="8">
        <v>12.96</v>
      </c>
      <c r="D28" s="8">
        <f t="shared" si="1"/>
        <v>7.449999999999999</v>
      </c>
    </row>
    <row r="29" spans="1:4" ht="12.75">
      <c r="A29" s="9" t="s">
        <v>48</v>
      </c>
      <c r="B29" s="8">
        <v>20.41</v>
      </c>
      <c r="C29" s="13">
        <v>12.96</v>
      </c>
      <c r="D29" s="8">
        <f t="shared" si="1"/>
        <v>7.449999999999999</v>
      </c>
    </row>
    <row r="30" spans="1:4" ht="12.75">
      <c r="A30" s="9" t="s">
        <v>49</v>
      </c>
      <c r="B30" s="8">
        <v>20.41</v>
      </c>
      <c r="C30" s="13">
        <v>12.96</v>
      </c>
      <c r="D30" s="8">
        <f t="shared" si="1"/>
        <v>7.449999999999999</v>
      </c>
    </row>
    <row r="31" spans="1:4" ht="12.75">
      <c r="A31" s="9" t="s">
        <v>50</v>
      </c>
      <c r="B31" s="8">
        <v>20.41</v>
      </c>
      <c r="C31" s="13">
        <v>12.96</v>
      </c>
      <c r="D31" s="8">
        <f t="shared" si="1"/>
        <v>7.449999999999999</v>
      </c>
    </row>
    <row r="32" spans="1:4" ht="12.75">
      <c r="A32" s="9" t="s">
        <v>51</v>
      </c>
      <c r="B32" s="8">
        <v>20.41</v>
      </c>
      <c r="C32" s="13">
        <v>12.96</v>
      </c>
      <c r="D32" s="8">
        <f t="shared" si="1"/>
        <v>7.449999999999999</v>
      </c>
    </row>
    <row r="33" spans="1:4" ht="12.75">
      <c r="A33" s="9" t="s">
        <v>52</v>
      </c>
      <c r="B33" s="8">
        <v>20.41</v>
      </c>
      <c r="C33" s="13">
        <v>12.96</v>
      </c>
      <c r="D33" s="8">
        <f t="shared" si="1"/>
        <v>7.449999999999999</v>
      </c>
    </row>
    <row r="34" spans="1:4" ht="12.75">
      <c r="A34" s="9" t="s">
        <v>53</v>
      </c>
      <c r="B34" s="8">
        <v>20.41</v>
      </c>
      <c r="C34" s="13">
        <v>12.96</v>
      </c>
      <c r="D34" s="8">
        <f t="shared" si="1"/>
        <v>7.449999999999999</v>
      </c>
    </row>
    <row r="35" spans="1:4" ht="12.75">
      <c r="A35" s="9" t="s">
        <v>54</v>
      </c>
      <c r="B35" s="8">
        <v>20.41</v>
      </c>
      <c r="C35" s="13">
        <v>12.96</v>
      </c>
      <c r="D35" s="8">
        <f t="shared" si="1"/>
        <v>7.449999999999999</v>
      </c>
    </row>
    <row r="36" spans="1:4" ht="12.75">
      <c r="A36" s="9" t="s">
        <v>55</v>
      </c>
      <c r="B36" s="8">
        <v>20.41</v>
      </c>
      <c r="C36" s="13">
        <v>12.96</v>
      </c>
      <c r="D36" s="13">
        <f t="shared" si="1"/>
        <v>7.449999999999999</v>
      </c>
    </row>
    <row r="37" spans="1:4" ht="12.75">
      <c r="A37" s="9" t="s">
        <v>56</v>
      </c>
      <c r="B37" s="8">
        <v>20.41</v>
      </c>
      <c r="C37" s="13">
        <v>12.96</v>
      </c>
      <c r="D37" s="13">
        <f t="shared" si="1"/>
        <v>7.449999999999999</v>
      </c>
    </row>
    <row r="38" spans="1:4" ht="12.75">
      <c r="A38" s="9" t="s">
        <v>57</v>
      </c>
      <c r="B38" s="8">
        <v>20.41</v>
      </c>
      <c r="C38" s="13">
        <v>12.96</v>
      </c>
      <c r="D38" s="13">
        <f t="shared" si="1"/>
        <v>7.449999999999999</v>
      </c>
    </row>
    <row r="39" spans="1:4" ht="12.75">
      <c r="A39" s="7" t="s">
        <v>75</v>
      </c>
      <c r="B39" s="8">
        <f>SUM(B40:B51)</f>
        <v>0</v>
      </c>
      <c r="C39" s="8">
        <f>SUM(C40:C51)</f>
        <v>0</v>
      </c>
      <c r="D39" s="8">
        <f>SUM(D40:D51)</f>
        <v>0</v>
      </c>
    </row>
    <row r="40" spans="1:4" ht="12.75">
      <c r="A40" s="9" t="s">
        <v>59</v>
      </c>
      <c r="B40" s="8"/>
      <c r="C40" s="8"/>
      <c r="D40" s="8">
        <f aca="true" t="shared" si="2" ref="D40:D46">B40-C40</f>
        <v>0</v>
      </c>
    </row>
    <row r="41" spans="1:4" ht="12.75">
      <c r="A41" s="9" t="s">
        <v>47</v>
      </c>
      <c r="B41" s="13"/>
      <c r="C41" s="13"/>
      <c r="D41" s="8">
        <f t="shared" si="2"/>
        <v>0</v>
      </c>
    </row>
    <row r="42" spans="1:4" ht="12.75">
      <c r="A42" s="9" t="s">
        <v>48</v>
      </c>
      <c r="B42" s="13"/>
      <c r="C42" s="13"/>
      <c r="D42" s="8">
        <f t="shared" si="2"/>
        <v>0</v>
      </c>
    </row>
    <row r="43" spans="1:4" ht="12.75">
      <c r="A43" s="9" t="s">
        <v>49</v>
      </c>
      <c r="B43" s="13"/>
      <c r="C43" s="13"/>
      <c r="D43" s="8">
        <f t="shared" si="2"/>
        <v>0</v>
      </c>
    </row>
    <row r="44" spans="1:4" ht="12.75">
      <c r="A44" s="9" t="s">
        <v>50</v>
      </c>
      <c r="B44" s="13"/>
      <c r="C44" s="13"/>
      <c r="D44" s="8">
        <f t="shared" si="2"/>
        <v>0</v>
      </c>
    </row>
    <row r="45" spans="1:4" ht="12.75">
      <c r="A45" s="9" t="s">
        <v>51</v>
      </c>
      <c r="B45" s="13"/>
      <c r="C45" s="13"/>
      <c r="D45" s="8">
        <f t="shared" si="2"/>
        <v>0</v>
      </c>
    </row>
    <row r="46" spans="1:4" ht="12.75">
      <c r="A46" s="9" t="s">
        <v>52</v>
      </c>
      <c r="B46" s="13"/>
      <c r="C46" s="13"/>
      <c r="D46" s="8">
        <f t="shared" si="2"/>
        <v>0</v>
      </c>
    </row>
    <row r="47" spans="1:4" ht="12.75">
      <c r="A47" s="9" t="s">
        <v>53</v>
      </c>
      <c r="B47" s="8"/>
      <c r="C47" s="8"/>
      <c r="D47" s="8">
        <f>B47-C47</f>
        <v>0</v>
      </c>
    </row>
    <row r="48" spans="1:4" ht="12.75">
      <c r="A48" s="9" t="s">
        <v>54</v>
      </c>
      <c r="B48" s="13"/>
      <c r="C48" s="13"/>
      <c r="D48" s="8">
        <f>B48-C48</f>
        <v>0</v>
      </c>
    </row>
    <row r="49" spans="1:4" ht="12.75">
      <c r="A49" s="9" t="s">
        <v>55</v>
      </c>
      <c r="B49" s="13"/>
      <c r="C49" s="13"/>
      <c r="D49" s="13">
        <f>B49-C49</f>
        <v>0</v>
      </c>
    </row>
    <row r="50" spans="1:4" ht="12.75">
      <c r="A50" s="9" t="s">
        <v>56</v>
      </c>
      <c r="B50" s="13"/>
      <c r="C50" s="13"/>
      <c r="D50" s="13">
        <f>B50-C50</f>
        <v>0</v>
      </c>
    </row>
    <row r="51" spans="1:4" ht="12.75">
      <c r="A51" s="9" t="s">
        <v>57</v>
      </c>
      <c r="B51" s="13"/>
      <c r="C51" s="13"/>
      <c r="D51" s="13">
        <f>B51-C51</f>
        <v>0</v>
      </c>
    </row>
    <row r="52" spans="1:4" ht="12.75">
      <c r="A52" s="7" t="s">
        <v>76</v>
      </c>
      <c r="B52" s="13">
        <f>B53+B54+B55+B56+B57</f>
        <v>0</v>
      </c>
      <c r="C52" s="13">
        <f>C53+C54+C55+C56+C57</f>
        <v>0</v>
      </c>
      <c r="D52" s="13">
        <f>SUM(D53:D57)</f>
        <v>0</v>
      </c>
    </row>
    <row r="53" spans="1:4" ht="12.75">
      <c r="A53" s="9" t="s">
        <v>53</v>
      </c>
      <c r="B53" s="8"/>
      <c r="C53" s="8"/>
      <c r="D53" s="8">
        <f>B53-C53</f>
        <v>0</v>
      </c>
    </row>
    <row r="54" spans="1:4" ht="12.75">
      <c r="A54" s="9" t="s">
        <v>54</v>
      </c>
      <c r="B54" s="13"/>
      <c r="C54" s="13"/>
      <c r="D54" s="8">
        <f>B54-C54</f>
        <v>0</v>
      </c>
    </row>
    <row r="55" spans="1:4" ht="12.75">
      <c r="A55" s="9" t="s">
        <v>55</v>
      </c>
      <c r="B55" s="13"/>
      <c r="C55" s="13"/>
      <c r="D55" s="13">
        <f>B55-C55</f>
        <v>0</v>
      </c>
    </row>
    <row r="56" spans="1:4" ht="12.75">
      <c r="A56" s="9" t="s">
        <v>56</v>
      </c>
      <c r="B56" s="13"/>
      <c r="C56" s="13"/>
      <c r="D56" s="13">
        <f>B56-C56</f>
        <v>0</v>
      </c>
    </row>
    <row r="57" spans="1:4" ht="12.75">
      <c r="A57" s="9" t="s">
        <v>57</v>
      </c>
      <c r="B57" s="13"/>
      <c r="C57" s="13"/>
      <c r="D57" s="13">
        <f>B57-C57</f>
        <v>0</v>
      </c>
    </row>
    <row r="58" spans="1:4" ht="12.75">
      <c r="A58" s="9" t="s">
        <v>60</v>
      </c>
      <c r="B58" s="8">
        <f>B13+B26</f>
        <v>187512.96000000005</v>
      </c>
      <c r="C58" s="8">
        <f>C13+C26</f>
        <v>162039.18</v>
      </c>
      <c r="D58" s="8">
        <f>D13+D26</f>
        <v>25473.780000000013</v>
      </c>
    </row>
    <row r="60" spans="1:4" ht="12.75">
      <c r="A60" t="s">
        <v>61</v>
      </c>
      <c r="D60" s="12">
        <f>D58</f>
        <v>25473.780000000013</v>
      </c>
    </row>
    <row r="62" spans="1:4" ht="12.75">
      <c r="A62" s="11" t="s">
        <v>62</v>
      </c>
      <c r="D62" s="12">
        <f>D63+D64</f>
        <v>15463.872000000001</v>
      </c>
    </row>
    <row r="63" spans="1:4" ht="12.75" customHeight="1">
      <c r="A63" s="11" t="s">
        <v>63</v>
      </c>
      <c r="D63" s="12">
        <f>(1.33*12*D5)</f>
        <v>13099.968</v>
      </c>
    </row>
    <row r="64" spans="1:4" ht="12.75" customHeight="1">
      <c r="A64" s="11" t="s">
        <v>64</v>
      </c>
      <c r="D64" s="12">
        <f>(0.24*12*D5)</f>
        <v>2363.904</v>
      </c>
    </row>
    <row r="65" spans="1:4" ht="12.75">
      <c r="A65" s="11" t="s">
        <v>65</v>
      </c>
      <c r="D65" s="12">
        <v>0</v>
      </c>
    </row>
    <row r="66" spans="1:4" ht="12.75">
      <c r="A66" s="11" t="s">
        <v>109</v>
      </c>
      <c r="D66" s="12">
        <f>274.9*0.22*4+(274.9*2.5)</f>
        <v>929.162</v>
      </c>
    </row>
    <row r="67" spans="1:4" ht="12.75">
      <c r="A67" s="11" t="s">
        <v>121</v>
      </c>
      <c r="D67" s="12">
        <f>(2.66*6*D5)</f>
        <v>13099.968</v>
      </c>
    </row>
    <row r="68" spans="1:4" ht="12.75">
      <c r="A68" s="11" t="s">
        <v>66</v>
      </c>
      <c r="D68" s="12">
        <v>0</v>
      </c>
    </row>
    <row r="69" spans="1:4" ht="12.75">
      <c r="A69" s="11" t="s">
        <v>108</v>
      </c>
      <c r="D69" s="12">
        <f>(0.72*3*D5)</f>
        <v>1772.928</v>
      </c>
    </row>
    <row r="70" spans="1:4" ht="12.75">
      <c r="A70" s="11" t="s">
        <v>67</v>
      </c>
      <c r="D70" s="12">
        <f>(1.45*12*D5)</f>
        <v>14281.919999999998</v>
      </c>
    </row>
    <row r="71" spans="1:4" ht="12.75">
      <c r="A71" s="11" t="s">
        <v>68</v>
      </c>
      <c r="D71" s="12">
        <f>(5.11*12*D5)</f>
        <v>50331.456000000006</v>
      </c>
    </row>
    <row r="72" spans="1:4" ht="12.75">
      <c r="A72" s="11" t="s">
        <v>69</v>
      </c>
      <c r="D72" s="12">
        <f>(0.29*12*D5)</f>
        <v>2856.3839999999996</v>
      </c>
    </row>
    <row r="73" spans="1:4" ht="12.75">
      <c r="A73" s="11" t="s">
        <v>110</v>
      </c>
      <c r="D73" s="12">
        <f>(3.87*12*D5)</f>
        <v>38117.952</v>
      </c>
    </row>
    <row r="74" spans="1:4" ht="12.75">
      <c r="A74" s="11" t="s">
        <v>70</v>
      </c>
      <c r="D74" s="12">
        <f>2.25*12*D6</f>
        <v>486</v>
      </c>
    </row>
    <row r="75" spans="1:4" ht="12.75">
      <c r="A75" s="11" t="s">
        <v>71</v>
      </c>
      <c r="D75" s="12">
        <v>7866</v>
      </c>
    </row>
    <row r="76" spans="1:4" ht="12.75">
      <c r="A76" s="11" t="s">
        <v>72</v>
      </c>
      <c r="D76" s="12">
        <f>(0.57*12*D5)</f>
        <v>5614.272</v>
      </c>
    </row>
    <row r="77" spans="1:4" ht="12.75">
      <c r="A77" s="14" t="s">
        <v>96</v>
      </c>
      <c r="D77" s="12">
        <v>0</v>
      </c>
    </row>
    <row r="78" spans="1:4" ht="12.75">
      <c r="A78" s="11"/>
      <c r="D78" s="12"/>
    </row>
    <row r="79" spans="1:4" ht="12.75">
      <c r="A79" s="11" t="s">
        <v>73</v>
      </c>
      <c r="D79" s="12">
        <f>D62+D65+D66+D67+D68+D69+D70+D71+D72+D73+D74+D75+D76+D77</f>
        <v>150819.91400000002</v>
      </c>
    </row>
    <row r="80" spans="1:4" ht="12.75">
      <c r="A80" s="11"/>
      <c r="D80" s="12"/>
    </row>
    <row r="81" spans="1:4" ht="12.75">
      <c r="A81" t="s">
        <v>103</v>
      </c>
      <c r="D81" s="12">
        <f>C58-D79</f>
        <v>11219.265999999974</v>
      </c>
    </row>
    <row r="83" spans="1:2" ht="12.75" hidden="1">
      <c r="A83">
        <v>241</v>
      </c>
      <c r="B83" t="s">
        <v>27</v>
      </c>
    </row>
    <row r="84" spans="1:2" ht="12.75" hidden="1">
      <c r="A84">
        <v>117</v>
      </c>
      <c r="B84" t="s">
        <v>27</v>
      </c>
    </row>
    <row r="85" spans="1:2" ht="12.75" hidden="1">
      <c r="A85">
        <v>3673</v>
      </c>
      <c r="B85" t="s">
        <v>181</v>
      </c>
    </row>
    <row r="86" spans="1:2" ht="12.75" hidden="1">
      <c r="A86">
        <v>118</v>
      </c>
      <c r="B86" t="s">
        <v>27</v>
      </c>
    </row>
    <row r="87" spans="1:2" ht="12.75" hidden="1">
      <c r="A87">
        <v>2303</v>
      </c>
      <c r="B87" t="s">
        <v>27</v>
      </c>
    </row>
    <row r="88" spans="1:2" ht="12.75" hidden="1">
      <c r="A88">
        <v>1178</v>
      </c>
      <c r="B88" t="s">
        <v>214</v>
      </c>
    </row>
    <row r="89" spans="1:2" ht="12.75" hidden="1">
      <c r="A89">
        <v>236</v>
      </c>
      <c r="B89" t="s">
        <v>27</v>
      </c>
    </row>
    <row r="90" ht="12.75" hidden="1">
      <c r="A90">
        <f>SUM(A83:A89)</f>
        <v>7866</v>
      </c>
    </row>
    <row r="91" ht="12.75" hidden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2"/>
  </sheetPr>
  <dimension ref="A1:G79"/>
  <sheetViews>
    <sheetView zoomScalePageLayoutView="0" workbookViewId="0" topLeftCell="A40">
      <selection activeCell="A73" sqref="A73:IV80"/>
    </sheetView>
  </sheetViews>
  <sheetFormatPr defaultColWidth="9.140625" defaultRowHeight="12.75"/>
  <cols>
    <col min="2" max="2" width="12.421875" style="0" bestFit="1" customWidth="1"/>
    <col min="3" max="3" width="13.28125" style="0" bestFit="1" customWidth="1"/>
    <col min="4" max="4" width="12.00390625" style="0" bestFit="1" customWidth="1"/>
  </cols>
  <sheetData>
    <row r="1" ht="12.75">
      <c r="A1" t="s">
        <v>14</v>
      </c>
    </row>
    <row r="2" ht="12.75">
      <c r="A2" t="s">
        <v>4</v>
      </c>
    </row>
    <row r="3" spans="1:7" ht="12.75">
      <c r="A3" s="1" t="s">
        <v>34</v>
      </c>
      <c r="B3" s="2" t="s">
        <v>35</v>
      </c>
      <c r="C3" s="1" t="s">
        <v>97</v>
      </c>
      <c r="D3" s="1"/>
      <c r="E3" s="1" t="s">
        <v>36</v>
      </c>
      <c r="F3" s="3">
        <v>5</v>
      </c>
      <c r="G3" s="21">
        <v>2018</v>
      </c>
    </row>
    <row r="5" spans="1:5" ht="12.75">
      <c r="A5" t="s">
        <v>37</v>
      </c>
      <c r="D5" s="4">
        <v>1015</v>
      </c>
      <c r="E5" s="5" t="s">
        <v>74</v>
      </c>
    </row>
    <row r="6" spans="1:5" ht="12.75">
      <c r="A6" t="s">
        <v>38</v>
      </c>
      <c r="D6" s="4">
        <v>24</v>
      </c>
      <c r="E6" s="5"/>
    </row>
    <row r="7" spans="1:5" ht="12.75">
      <c r="A7" t="s">
        <v>39</v>
      </c>
      <c r="D7" s="4">
        <v>66</v>
      </c>
      <c r="E7" s="5" t="s">
        <v>40</v>
      </c>
    </row>
    <row r="8" spans="1:5" ht="12.75">
      <c r="A8" t="s">
        <v>41</v>
      </c>
      <c r="D8" s="4">
        <v>95.2</v>
      </c>
      <c r="E8" s="5" t="s">
        <v>74</v>
      </c>
    </row>
    <row r="9" spans="1:5" ht="12.75">
      <c r="A9" t="s">
        <v>42</v>
      </c>
      <c r="D9" s="4">
        <v>1783</v>
      </c>
      <c r="E9" s="5" t="s">
        <v>74</v>
      </c>
    </row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233430.6</v>
      </c>
      <c r="C13" s="8">
        <f>SUM(C14:C25)</f>
        <v>248964.93000000002</v>
      </c>
      <c r="D13" s="8">
        <f>SUM(D14:D25)</f>
        <v>-15534.329999999987</v>
      </c>
    </row>
    <row r="14" spans="1:4" ht="12.75">
      <c r="A14" s="9" t="s">
        <v>59</v>
      </c>
      <c r="B14" s="8">
        <v>20787.29</v>
      </c>
      <c r="C14" s="8">
        <v>20275.05</v>
      </c>
      <c r="D14" s="8">
        <f aca="true" t="shared" si="0" ref="D14:D25">B14-C14</f>
        <v>512.2400000000016</v>
      </c>
    </row>
    <row r="15" spans="1:4" ht="12.75">
      <c r="A15" s="9" t="s">
        <v>47</v>
      </c>
      <c r="B15" s="8">
        <v>20787.29</v>
      </c>
      <c r="C15" s="13">
        <v>17641.34</v>
      </c>
      <c r="D15" s="8">
        <f t="shared" si="0"/>
        <v>3145.9500000000007</v>
      </c>
    </row>
    <row r="16" spans="1:4" ht="12.75">
      <c r="A16" s="9" t="s">
        <v>48</v>
      </c>
      <c r="B16" s="8">
        <v>20787.29</v>
      </c>
      <c r="C16" s="13">
        <v>26248.31</v>
      </c>
      <c r="D16" s="8">
        <f t="shared" si="0"/>
        <v>-5461.02</v>
      </c>
    </row>
    <row r="17" spans="1:4" ht="12.75">
      <c r="A17" s="9" t="s">
        <v>49</v>
      </c>
      <c r="B17" s="8">
        <v>20787.29</v>
      </c>
      <c r="C17" s="13">
        <v>19109.47</v>
      </c>
      <c r="D17" s="8">
        <f t="shared" si="0"/>
        <v>1677.8199999999997</v>
      </c>
    </row>
    <row r="18" spans="1:4" ht="12.75">
      <c r="A18" s="9" t="s">
        <v>50</v>
      </c>
      <c r="B18" s="8">
        <v>20787.29</v>
      </c>
      <c r="C18" s="13">
        <v>17258.27</v>
      </c>
      <c r="D18" s="8">
        <f t="shared" si="0"/>
        <v>3529.0200000000004</v>
      </c>
    </row>
    <row r="19" spans="1:4" ht="12.75">
      <c r="A19" s="9" t="s">
        <v>51</v>
      </c>
      <c r="B19" s="8">
        <v>20787.29</v>
      </c>
      <c r="C19" s="13">
        <v>21416.85</v>
      </c>
      <c r="D19" s="8">
        <f t="shared" si="0"/>
        <v>-629.5599999999977</v>
      </c>
    </row>
    <row r="20" spans="1:4" ht="12.75">
      <c r="A20" s="9" t="s">
        <v>52</v>
      </c>
      <c r="B20" s="8">
        <v>18117.81</v>
      </c>
      <c r="C20" s="13">
        <v>14131.91</v>
      </c>
      <c r="D20" s="8">
        <f t="shared" si="0"/>
        <v>3985.9000000000015</v>
      </c>
    </row>
    <row r="21" spans="1:4" ht="12.75">
      <c r="A21" s="9" t="s">
        <v>53</v>
      </c>
      <c r="B21" s="8">
        <v>18117.81</v>
      </c>
      <c r="C21" s="13">
        <v>19041.87</v>
      </c>
      <c r="D21" s="8">
        <f t="shared" si="0"/>
        <v>-924.0599999999977</v>
      </c>
    </row>
    <row r="22" spans="1:4" ht="12.75">
      <c r="A22" s="9" t="s">
        <v>54</v>
      </c>
      <c r="B22" s="8">
        <v>18117.81</v>
      </c>
      <c r="C22" s="13">
        <v>16132.71</v>
      </c>
      <c r="D22" s="8">
        <f t="shared" si="0"/>
        <v>1985.1000000000022</v>
      </c>
    </row>
    <row r="23" spans="1:4" ht="12.75">
      <c r="A23" s="9" t="s">
        <v>55</v>
      </c>
      <c r="B23" s="8">
        <v>18117.81</v>
      </c>
      <c r="C23" s="13">
        <v>41215.3</v>
      </c>
      <c r="D23" s="13">
        <f t="shared" si="0"/>
        <v>-23097.49</v>
      </c>
    </row>
    <row r="24" spans="1:4" ht="12.75">
      <c r="A24" s="9" t="s">
        <v>56</v>
      </c>
      <c r="B24" s="8">
        <v>18117.81</v>
      </c>
      <c r="C24" s="13">
        <v>20146.28</v>
      </c>
      <c r="D24" s="13">
        <f t="shared" si="0"/>
        <v>-2028.4699999999975</v>
      </c>
    </row>
    <row r="25" spans="1:4" ht="12.75">
      <c r="A25" s="9" t="s">
        <v>57</v>
      </c>
      <c r="B25" s="8">
        <v>18117.81</v>
      </c>
      <c r="C25" s="13">
        <v>16347.57</v>
      </c>
      <c r="D25" s="13">
        <f t="shared" si="0"/>
        <v>1770.2400000000016</v>
      </c>
    </row>
    <row r="26" spans="1:4" ht="12.75">
      <c r="A26" s="7" t="s">
        <v>58</v>
      </c>
      <c r="B26" s="8">
        <f>SUM(B27:B38)</f>
        <v>189.96000000000004</v>
      </c>
      <c r="C26" s="8">
        <f>SUM(C27:C38)</f>
        <v>186.46999999999997</v>
      </c>
      <c r="D26" s="8">
        <f>SUM(D27:D38)</f>
        <v>3.490000000000002</v>
      </c>
    </row>
    <row r="27" spans="1:4" ht="12.75">
      <c r="A27" s="9" t="s">
        <v>59</v>
      </c>
      <c r="B27" s="8">
        <v>15.83</v>
      </c>
      <c r="C27" s="8">
        <v>12.71</v>
      </c>
      <c r="D27" s="8">
        <f aca="true" t="shared" si="1" ref="D27:D38">B27-C27</f>
        <v>3.119999999999999</v>
      </c>
    </row>
    <row r="28" spans="1:4" ht="12.75">
      <c r="A28" s="9" t="s">
        <v>47</v>
      </c>
      <c r="B28" s="8">
        <v>15.83</v>
      </c>
      <c r="C28" s="13">
        <v>18.9</v>
      </c>
      <c r="D28" s="8">
        <f t="shared" si="1"/>
        <v>-3.0699999999999985</v>
      </c>
    </row>
    <row r="29" spans="1:4" ht="12.75">
      <c r="A29" s="9" t="s">
        <v>48</v>
      </c>
      <c r="B29" s="8">
        <v>15.83</v>
      </c>
      <c r="C29" s="13">
        <v>9.82</v>
      </c>
      <c r="D29" s="8">
        <f t="shared" si="1"/>
        <v>6.01</v>
      </c>
    </row>
    <row r="30" spans="1:4" ht="12.75">
      <c r="A30" s="9" t="s">
        <v>49</v>
      </c>
      <c r="B30" s="8">
        <v>15.83</v>
      </c>
      <c r="C30" s="13">
        <v>14.89</v>
      </c>
      <c r="D30" s="8">
        <f t="shared" si="1"/>
        <v>0.9399999999999995</v>
      </c>
    </row>
    <row r="31" spans="1:4" ht="12.75">
      <c r="A31" s="9" t="s">
        <v>50</v>
      </c>
      <c r="B31" s="8">
        <v>15.83</v>
      </c>
      <c r="C31" s="13">
        <v>16.59</v>
      </c>
      <c r="D31" s="8">
        <f t="shared" si="1"/>
        <v>-0.7599999999999998</v>
      </c>
    </row>
    <row r="32" spans="1:4" ht="12.75">
      <c r="A32" s="9" t="s">
        <v>51</v>
      </c>
      <c r="B32" s="8">
        <v>15.83</v>
      </c>
      <c r="C32" s="13">
        <v>12.75</v>
      </c>
      <c r="D32" s="8">
        <f t="shared" si="1"/>
        <v>3.08</v>
      </c>
    </row>
    <row r="33" spans="1:4" ht="12.75">
      <c r="A33" s="9" t="s">
        <v>52</v>
      </c>
      <c r="B33" s="8">
        <v>15.83</v>
      </c>
      <c r="C33" s="13">
        <v>11.1</v>
      </c>
      <c r="D33" s="8">
        <f t="shared" si="1"/>
        <v>4.73</v>
      </c>
    </row>
    <row r="34" spans="1:4" ht="12.75">
      <c r="A34" s="9" t="s">
        <v>53</v>
      </c>
      <c r="B34" s="8">
        <v>15.83</v>
      </c>
      <c r="C34" s="13">
        <v>19.11</v>
      </c>
      <c r="D34" s="8">
        <f t="shared" si="1"/>
        <v>-3.2799999999999994</v>
      </c>
    </row>
    <row r="35" spans="1:4" ht="12.75">
      <c r="A35" s="9" t="s">
        <v>54</v>
      </c>
      <c r="B35" s="8">
        <v>15.83</v>
      </c>
      <c r="C35" s="13">
        <v>19.4</v>
      </c>
      <c r="D35" s="8">
        <f t="shared" si="1"/>
        <v>-3.5699999999999985</v>
      </c>
    </row>
    <row r="36" spans="1:4" ht="12.75">
      <c r="A36" s="9" t="s">
        <v>55</v>
      </c>
      <c r="B36" s="8">
        <v>15.83</v>
      </c>
      <c r="C36" s="13">
        <v>14.95</v>
      </c>
      <c r="D36" s="13">
        <f t="shared" si="1"/>
        <v>0.8800000000000008</v>
      </c>
    </row>
    <row r="37" spans="1:4" ht="12.75">
      <c r="A37" s="9" t="s">
        <v>56</v>
      </c>
      <c r="B37" s="8">
        <v>15.83</v>
      </c>
      <c r="C37" s="13">
        <v>23.51</v>
      </c>
      <c r="D37" s="13">
        <f t="shared" si="1"/>
        <v>-7.6800000000000015</v>
      </c>
    </row>
    <row r="38" spans="1:4" ht="12.75">
      <c r="A38" s="9" t="s">
        <v>57</v>
      </c>
      <c r="B38" s="8">
        <v>15.83</v>
      </c>
      <c r="C38" s="13">
        <v>12.74</v>
      </c>
      <c r="D38" s="13">
        <f t="shared" si="1"/>
        <v>3.09</v>
      </c>
    </row>
    <row r="39" spans="1:4" ht="12.75">
      <c r="A39" s="7" t="s">
        <v>75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>
      <c r="A40" s="9" t="s">
        <v>56</v>
      </c>
      <c r="B40" s="13"/>
      <c r="C40" s="13"/>
      <c r="D40" s="13">
        <f>B40-C40</f>
        <v>0</v>
      </c>
    </row>
    <row r="41" spans="1:4" ht="12.75">
      <c r="A41" s="9" t="s">
        <v>57</v>
      </c>
      <c r="B41" s="13"/>
      <c r="C41" s="13"/>
      <c r="D41" s="13">
        <f>B41-C41</f>
        <v>0</v>
      </c>
    </row>
    <row r="42" spans="1:4" ht="12.75">
      <c r="A42" s="7" t="s">
        <v>76</v>
      </c>
      <c r="B42" s="13">
        <f>B43+B44+B45+B46+B47</f>
        <v>0</v>
      </c>
      <c r="C42" s="13">
        <f>C43+C44+C45+C46+C47</f>
        <v>0</v>
      </c>
      <c r="D42" s="13">
        <f>SUM(D43:D47)</f>
        <v>0</v>
      </c>
    </row>
    <row r="43" spans="1:4" ht="12.75">
      <c r="A43" s="9" t="s">
        <v>53</v>
      </c>
      <c r="B43" s="8"/>
      <c r="C43" s="8"/>
      <c r="D43" s="8">
        <f>B43-C43</f>
        <v>0</v>
      </c>
    </row>
    <row r="44" spans="1:4" ht="12.75">
      <c r="A44" s="9" t="s">
        <v>54</v>
      </c>
      <c r="B44" s="13"/>
      <c r="C44" s="13"/>
      <c r="D44" s="8">
        <f>B44-C44</f>
        <v>0</v>
      </c>
    </row>
    <row r="45" spans="1:4" ht="12.75">
      <c r="A45" s="9" t="s">
        <v>55</v>
      </c>
      <c r="B45" s="13"/>
      <c r="C45" s="13"/>
      <c r="D45" s="13">
        <f>B45-C45</f>
        <v>0</v>
      </c>
    </row>
    <row r="46" spans="1:4" ht="12.75">
      <c r="A46" s="9" t="s">
        <v>56</v>
      </c>
      <c r="B46" s="13"/>
      <c r="C46" s="13"/>
      <c r="D46" s="13">
        <f>B46-C46</f>
        <v>0</v>
      </c>
    </row>
    <row r="47" spans="1:4" ht="12.75">
      <c r="A47" s="9" t="s">
        <v>57</v>
      </c>
      <c r="B47" s="13"/>
      <c r="C47" s="13"/>
      <c r="D47" s="13">
        <f>B47-C47</f>
        <v>0</v>
      </c>
    </row>
    <row r="48" spans="1:4" ht="12.75">
      <c r="A48" s="9" t="s">
        <v>60</v>
      </c>
      <c r="B48" s="8">
        <f>B13+B26</f>
        <v>233620.56</v>
      </c>
      <c r="C48" s="8">
        <f>C13+C26</f>
        <v>249151.40000000002</v>
      </c>
      <c r="D48" s="8">
        <f>D13+D26</f>
        <v>-15530.839999999987</v>
      </c>
    </row>
    <row r="50" spans="1:4" ht="12.75">
      <c r="A50" t="s">
        <v>61</v>
      </c>
      <c r="D50" s="12">
        <f>D48</f>
        <v>-15530.839999999987</v>
      </c>
    </row>
    <row r="52" spans="1:4" ht="12.75">
      <c r="A52" s="11" t="s">
        <v>62</v>
      </c>
      <c r="D52" s="12">
        <f>D53+D54</f>
        <v>19122.600000000002</v>
      </c>
    </row>
    <row r="53" spans="1:4" ht="12.75">
      <c r="A53" s="11" t="s">
        <v>63</v>
      </c>
      <c r="D53" s="12">
        <f>(1.33*12*D5)</f>
        <v>16199.400000000001</v>
      </c>
    </row>
    <row r="54" spans="1:4" ht="12.75">
      <c r="A54" s="11" t="s">
        <v>64</v>
      </c>
      <c r="D54" s="12">
        <f>(0.24*12*D5)</f>
        <v>2923.2</v>
      </c>
    </row>
    <row r="55" spans="1:4" ht="12.75">
      <c r="A55" s="11" t="s">
        <v>65</v>
      </c>
      <c r="D55" s="12">
        <v>0</v>
      </c>
    </row>
    <row r="56" spans="1:4" ht="12.75">
      <c r="A56" s="11" t="s">
        <v>109</v>
      </c>
      <c r="D56" s="12">
        <f>698.8*0.22*4+(698.8*2.5)</f>
        <v>2361.944</v>
      </c>
    </row>
    <row r="57" spans="1:4" ht="12.75">
      <c r="A57" s="11" t="s">
        <v>121</v>
      </c>
      <c r="D57" s="12">
        <f>(2.66*6*D5)</f>
        <v>16199.400000000001</v>
      </c>
    </row>
    <row r="58" spans="1:4" ht="12.75">
      <c r="A58" s="11" t="s">
        <v>66</v>
      </c>
      <c r="D58" s="12">
        <v>0</v>
      </c>
    </row>
    <row r="59" spans="1:4" ht="12.75">
      <c r="A59" s="11" t="s">
        <v>108</v>
      </c>
      <c r="D59" s="12">
        <f>(0.72*3*D5)</f>
        <v>2192.4</v>
      </c>
    </row>
    <row r="60" spans="1:4" ht="12.75">
      <c r="A60" s="11" t="s">
        <v>67</v>
      </c>
      <c r="D60" s="12">
        <f>(1.45*12*D5)</f>
        <v>17661</v>
      </c>
    </row>
    <row r="61" spans="1:4" ht="12.75">
      <c r="A61" s="11" t="s">
        <v>68</v>
      </c>
      <c r="D61" s="12">
        <f>(5.11*12*D5)</f>
        <v>62239.80000000001</v>
      </c>
    </row>
    <row r="62" spans="1:4" ht="12.75">
      <c r="A62" s="11" t="s">
        <v>69</v>
      </c>
      <c r="D62" s="12">
        <f>(0.29*12*D5)</f>
        <v>3532.1999999999994</v>
      </c>
    </row>
    <row r="63" spans="1:4" ht="12.75">
      <c r="A63" s="11" t="s">
        <v>107</v>
      </c>
      <c r="D63" s="12">
        <f>(3.87*12*D5)</f>
        <v>47136.6</v>
      </c>
    </row>
    <row r="64" spans="1:4" ht="12.75">
      <c r="A64" s="11" t="s">
        <v>70</v>
      </c>
      <c r="D64" s="12">
        <f>2.25*12*D6</f>
        <v>648</v>
      </c>
    </row>
    <row r="65" spans="1:4" ht="12.75">
      <c r="A65" s="11" t="s">
        <v>71</v>
      </c>
      <c r="D65" s="12">
        <v>46325</v>
      </c>
    </row>
    <row r="66" spans="1:4" ht="12.75">
      <c r="A66" s="11" t="s">
        <v>72</v>
      </c>
      <c r="D66" s="12">
        <f>(0.57*12*D5)</f>
        <v>6942.599999999999</v>
      </c>
    </row>
    <row r="67" spans="1:4" ht="12.75">
      <c r="A67" s="14" t="s">
        <v>96</v>
      </c>
      <c r="D67" s="12">
        <v>0</v>
      </c>
    </row>
    <row r="68" spans="1:4" ht="12.75">
      <c r="A68" s="11"/>
      <c r="D68" s="12"/>
    </row>
    <row r="69" spans="1:4" ht="12.75">
      <c r="A69" s="11" t="s">
        <v>73</v>
      </c>
      <c r="D69" s="12">
        <f>D52+D55+D56+D57+D58+D59+D60+D61+D62+D63+D64+D65+D66+D67</f>
        <v>224361.54400000002</v>
      </c>
    </row>
    <row r="70" spans="1:4" ht="12.75">
      <c r="A70" s="11"/>
      <c r="D70" s="12"/>
    </row>
    <row r="71" spans="1:4" ht="12.75">
      <c r="A71" t="s">
        <v>103</v>
      </c>
      <c r="D71" s="12">
        <f>C48-D69</f>
        <v>24789.856</v>
      </c>
    </row>
    <row r="73" spans="1:2" ht="12.75" hidden="1">
      <c r="A73">
        <v>345</v>
      </c>
      <c r="B73" t="s">
        <v>27</v>
      </c>
    </row>
    <row r="74" spans="1:2" ht="12.75" hidden="1">
      <c r="A74">
        <v>241</v>
      </c>
      <c r="B74" t="s">
        <v>27</v>
      </c>
    </row>
    <row r="75" spans="1:2" ht="12.75" hidden="1">
      <c r="A75">
        <v>42562</v>
      </c>
      <c r="B75" t="s">
        <v>220</v>
      </c>
    </row>
    <row r="76" spans="1:2" ht="12.75" hidden="1">
      <c r="A76">
        <v>191</v>
      </c>
      <c r="B76" t="s">
        <v>27</v>
      </c>
    </row>
    <row r="77" spans="1:2" ht="12.75" hidden="1">
      <c r="A77">
        <v>2750</v>
      </c>
      <c r="B77" t="s">
        <v>27</v>
      </c>
    </row>
    <row r="78" spans="1:2" ht="12.75" hidden="1">
      <c r="A78">
        <v>236</v>
      </c>
      <c r="B78" t="s">
        <v>27</v>
      </c>
    </row>
    <row r="79" ht="12.75" hidden="1">
      <c r="A79">
        <f>SUM(A73:A78)</f>
        <v>46325</v>
      </c>
    </row>
    <row r="80" ht="12.75" hidden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2"/>
  </sheetPr>
  <dimension ref="A1:G77"/>
  <sheetViews>
    <sheetView zoomScalePageLayoutView="0" workbookViewId="0" topLeftCell="A40">
      <selection activeCell="A73" sqref="A73:IV78"/>
    </sheetView>
  </sheetViews>
  <sheetFormatPr defaultColWidth="9.140625" defaultRowHeight="12.75"/>
  <cols>
    <col min="2" max="2" width="12.421875" style="0" bestFit="1" customWidth="1"/>
    <col min="3" max="3" width="13.28125" style="0" bestFit="1" customWidth="1"/>
    <col min="4" max="4" width="12.00390625" style="0" bestFit="1" customWidth="1"/>
  </cols>
  <sheetData>
    <row r="1" ht="12.75">
      <c r="A1" t="s">
        <v>14</v>
      </c>
    </row>
    <row r="2" ht="12.75">
      <c r="A2" t="s">
        <v>4</v>
      </c>
    </row>
    <row r="3" spans="1:7" ht="12.75">
      <c r="A3" s="1" t="s">
        <v>34</v>
      </c>
      <c r="B3" s="2" t="s">
        <v>35</v>
      </c>
      <c r="C3" s="1" t="s">
        <v>97</v>
      </c>
      <c r="D3" s="1"/>
      <c r="E3" s="1" t="s">
        <v>36</v>
      </c>
      <c r="F3" s="3">
        <v>6</v>
      </c>
      <c r="G3" s="21">
        <v>2018</v>
      </c>
    </row>
    <row r="5" spans="1:5" ht="12.75">
      <c r="A5" t="s">
        <v>37</v>
      </c>
      <c r="D5" s="4">
        <v>1016.3</v>
      </c>
      <c r="E5" s="5" t="s">
        <v>74</v>
      </c>
    </row>
    <row r="6" spans="1:5" ht="12.75">
      <c r="A6" t="s">
        <v>38</v>
      </c>
      <c r="D6" s="4">
        <v>24</v>
      </c>
      <c r="E6" s="5"/>
    </row>
    <row r="7" spans="1:5" ht="12.75">
      <c r="A7" t="s">
        <v>39</v>
      </c>
      <c r="D7" s="4">
        <v>61</v>
      </c>
      <c r="E7" s="5" t="s">
        <v>40</v>
      </c>
    </row>
    <row r="8" spans="1:5" ht="12.75">
      <c r="A8" t="s">
        <v>41</v>
      </c>
      <c r="D8" s="4">
        <v>95</v>
      </c>
      <c r="E8" s="5" t="s">
        <v>74</v>
      </c>
    </row>
    <row r="9" spans="1:5" ht="12.75">
      <c r="A9" t="s">
        <v>42</v>
      </c>
      <c r="D9" s="4">
        <v>1718.3</v>
      </c>
      <c r="E9" s="5" t="s">
        <v>74</v>
      </c>
    </row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233668.20000000007</v>
      </c>
      <c r="C13" s="8">
        <f>SUM(C14:C25)</f>
        <v>267511.17</v>
      </c>
      <c r="D13" s="8">
        <f>SUM(D14:D25)</f>
        <v>-33842.96999999999</v>
      </c>
    </row>
    <row r="14" spans="1:4" ht="12.75">
      <c r="A14" s="9" t="s">
        <v>59</v>
      </c>
      <c r="B14" s="8">
        <v>20803.72</v>
      </c>
      <c r="C14" s="8">
        <v>19819.82</v>
      </c>
      <c r="D14" s="8">
        <f aca="true" t="shared" si="0" ref="D14:D25">B14-C14</f>
        <v>983.9000000000015</v>
      </c>
    </row>
    <row r="15" spans="1:4" ht="12.75">
      <c r="A15" s="9" t="s">
        <v>47</v>
      </c>
      <c r="B15" s="8">
        <v>20803.72</v>
      </c>
      <c r="C15" s="13">
        <v>19986.26</v>
      </c>
      <c r="D15" s="8">
        <f t="shared" si="0"/>
        <v>817.4600000000028</v>
      </c>
    </row>
    <row r="16" spans="1:4" ht="12.75">
      <c r="A16" s="9" t="s">
        <v>48</v>
      </c>
      <c r="B16" s="8">
        <v>20803.72</v>
      </c>
      <c r="C16" s="13">
        <v>16375.8</v>
      </c>
      <c r="D16" s="8">
        <f t="shared" si="0"/>
        <v>4427.920000000002</v>
      </c>
    </row>
    <row r="17" spans="1:4" ht="12.75">
      <c r="A17" s="9" t="s">
        <v>49</v>
      </c>
      <c r="B17" s="8">
        <v>20803.72</v>
      </c>
      <c r="C17" s="13">
        <v>17306.59</v>
      </c>
      <c r="D17" s="8">
        <f t="shared" si="0"/>
        <v>3497.130000000001</v>
      </c>
    </row>
    <row r="18" spans="1:4" ht="12.75">
      <c r="A18" s="9" t="s">
        <v>50</v>
      </c>
      <c r="B18" s="8">
        <v>20803.72</v>
      </c>
      <c r="C18" s="13">
        <v>13724.08</v>
      </c>
      <c r="D18" s="8">
        <f t="shared" si="0"/>
        <v>7079.640000000001</v>
      </c>
    </row>
    <row r="19" spans="1:4" ht="12.75">
      <c r="A19" s="9" t="s">
        <v>51</v>
      </c>
      <c r="B19" s="8">
        <v>20803.72</v>
      </c>
      <c r="C19" s="13">
        <v>20603.59</v>
      </c>
      <c r="D19" s="8">
        <f t="shared" si="0"/>
        <v>200.13000000000102</v>
      </c>
    </row>
    <row r="20" spans="1:4" ht="12.75">
      <c r="A20" s="9" t="s">
        <v>52</v>
      </c>
      <c r="B20" s="8">
        <v>18140.98</v>
      </c>
      <c r="C20" s="13">
        <v>35236.81</v>
      </c>
      <c r="D20" s="8">
        <f t="shared" si="0"/>
        <v>-17095.829999999998</v>
      </c>
    </row>
    <row r="21" spans="1:4" ht="12.75">
      <c r="A21" s="9" t="s">
        <v>53</v>
      </c>
      <c r="B21" s="8">
        <v>18140.98</v>
      </c>
      <c r="C21" s="13">
        <v>18604.1</v>
      </c>
      <c r="D21" s="8">
        <f t="shared" si="0"/>
        <v>-463.119999999999</v>
      </c>
    </row>
    <row r="22" spans="1:4" ht="12.75">
      <c r="A22" s="9" t="s">
        <v>54</v>
      </c>
      <c r="B22" s="8">
        <v>18140.98</v>
      </c>
      <c r="C22" s="13">
        <v>23917.12</v>
      </c>
      <c r="D22" s="8">
        <f t="shared" si="0"/>
        <v>-5776.139999999999</v>
      </c>
    </row>
    <row r="23" spans="1:4" ht="12.75">
      <c r="A23" s="9" t="s">
        <v>55</v>
      </c>
      <c r="B23" s="8">
        <v>18140.98</v>
      </c>
      <c r="C23" s="13">
        <v>35799.45</v>
      </c>
      <c r="D23" s="13">
        <f t="shared" si="0"/>
        <v>-17658.469999999998</v>
      </c>
    </row>
    <row r="24" spans="1:4" ht="12.75">
      <c r="A24" s="9" t="s">
        <v>56</v>
      </c>
      <c r="B24" s="8">
        <v>18140.98</v>
      </c>
      <c r="C24" s="13">
        <v>31306.01</v>
      </c>
      <c r="D24" s="13">
        <f t="shared" si="0"/>
        <v>-13165.029999999999</v>
      </c>
    </row>
    <row r="25" spans="1:4" ht="12.75">
      <c r="A25" s="9" t="s">
        <v>57</v>
      </c>
      <c r="B25" s="8">
        <v>18140.98</v>
      </c>
      <c r="C25" s="13">
        <v>14831.54</v>
      </c>
      <c r="D25" s="13">
        <f t="shared" si="0"/>
        <v>3309.4399999999987</v>
      </c>
    </row>
    <row r="26" spans="1:4" ht="12.75">
      <c r="A26" s="7" t="s">
        <v>58</v>
      </c>
      <c r="B26" s="8">
        <f>SUM(B27:B38)</f>
        <v>180.24</v>
      </c>
      <c r="C26" s="8">
        <f>SUM(C27:C38)</f>
        <v>315.0199999999999</v>
      </c>
      <c r="D26" s="8">
        <f>SUM(D27:D38)</f>
        <v>-134.77999999999997</v>
      </c>
    </row>
    <row r="27" spans="1:4" ht="12.75" customHeight="1">
      <c r="A27" s="9" t="s">
        <v>59</v>
      </c>
      <c r="B27" s="8">
        <v>15.02</v>
      </c>
      <c r="C27" s="8">
        <v>2.91</v>
      </c>
      <c r="D27" s="8">
        <f aca="true" t="shared" si="1" ref="D27:D38">B27-C27</f>
        <v>12.11</v>
      </c>
    </row>
    <row r="28" spans="1:4" ht="12.75" customHeight="1">
      <c r="A28" s="9" t="s">
        <v>47</v>
      </c>
      <c r="B28" s="8">
        <v>15.02</v>
      </c>
      <c r="C28" s="8">
        <v>12.25</v>
      </c>
      <c r="D28" s="8">
        <f t="shared" si="1"/>
        <v>2.7699999999999996</v>
      </c>
    </row>
    <row r="29" spans="1:4" ht="12.75" customHeight="1">
      <c r="A29" s="9" t="s">
        <v>48</v>
      </c>
      <c r="B29" s="8">
        <v>15.02</v>
      </c>
      <c r="C29" s="13">
        <v>8.96</v>
      </c>
      <c r="D29" s="8">
        <f t="shared" si="1"/>
        <v>6.059999999999999</v>
      </c>
    </row>
    <row r="30" spans="1:4" ht="12.75" customHeight="1">
      <c r="A30" s="9" t="s">
        <v>49</v>
      </c>
      <c r="B30" s="8">
        <v>15.02</v>
      </c>
      <c r="C30" s="13">
        <v>8.81</v>
      </c>
      <c r="D30" s="8">
        <f t="shared" si="1"/>
        <v>6.209999999999999</v>
      </c>
    </row>
    <row r="31" spans="1:4" ht="12.75" customHeight="1">
      <c r="A31" s="9" t="s">
        <v>50</v>
      </c>
      <c r="B31" s="8">
        <v>15.02</v>
      </c>
      <c r="C31" s="13">
        <v>5.64</v>
      </c>
      <c r="D31" s="8">
        <f t="shared" si="1"/>
        <v>9.379999999999999</v>
      </c>
    </row>
    <row r="32" spans="1:4" ht="12.75" customHeight="1">
      <c r="A32" s="9" t="s">
        <v>51</v>
      </c>
      <c r="B32" s="8">
        <v>15.02</v>
      </c>
      <c r="C32" s="13">
        <v>33.69</v>
      </c>
      <c r="D32" s="8">
        <f t="shared" si="1"/>
        <v>-18.669999999999998</v>
      </c>
    </row>
    <row r="33" spans="1:4" ht="12.75" customHeight="1">
      <c r="A33" s="9" t="s">
        <v>52</v>
      </c>
      <c r="B33" s="8">
        <v>15.02</v>
      </c>
      <c r="C33" s="13">
        <v>75.19</v>
      </c>
      <c r="D33" s="8">
        <f t="shared" si="1"/>
        <v>-60.17</v>
      </c>
    </row>
    <row r="34" spans="1:4" ht="12.75" customHeight="1">
      <c r="A34" s="9" t="s">
        <v>53</v>
      </c>
      <c r="B34" s="8">
        <v>15.02</v>
      </c>
      <c r="C34" s="13">
        <v>15.35</v>
      </c>
      <c r="D34" s="8">
        <f t="shared" si="1"/>
        <v>-0.33000000000000007</v>
      </c>
    </row>
    <row r="35" spans="1:4" ht="12.75" customHeight="1">
      <c r="A35" s="9" t="s">
        <v>54</v>
      </c>
      <c r="B35" s="8">
        <v>15.02</v>
      </c>
      <c r="C35" s="13">
        <v>55.43</v>
      </c>
      <c r="D35" s="8">
        <f t="shared" si="1"/>
        <v>-40.41</v>
      </c>
    </row>
    <row r="36" spans="1:4" ht="12.75" customHeight="1">
      <c r="A36" s="9" t="s">
        <v>55</v>
      </c>
      <c r="B36" s="8">
        <v>15.02</v>
      </c>
      <c r="C36" s="13">
        <v>79.11</v>
      </c>
      <c r="D36" s="13">
        <f t="shared" si="1"/>
        <v>-64.09</v>
      </c>
    </row>
    <row r="37" spans="1:4" ht="12.75" customHeight="1">
      <c r="A37" s="9" t="s">
        <v>56</v>
      </c>
      <c r="B37" s="8">
        <v>15.02</v>
      </c>
      <c r="C37" s="13">
        <v>8.84</v>
      </c>
      <c r="D37" s="13">
        <f t="shared" si="1"/>
        <v>6.18</v>
      </c>
    </row>
    <row r="38" spans="1:4" ht="12.75" customHeight="1">
      <c r="A38" s="9" t="s">
        <v>57</v>
      </c>
      <c r="B38" s="8">
        <v>15.02</v>
      </c>
      <c r="C38" s="13">
        <v>8.84</v>
      </c>
      <c r="D38" s="13">
        <f t="shared" si="1"/>
        <v>6.18</v>
      </c>
    </row>
    <row r="39" spans="1:4" ht="12.75" customHeight="1">
      <c r="A39" s="7" t="s">
        <v>75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 customHeight="1">
      <c r="A40" s="9" t="s">
        <v>56</v>
      </c>
      <c r="B40" s="13"/>
      <c r="C40" s="13"/>
      <c r="D40" s="13">
        <f>B40-C40</f>
        <v>0</v>
      </c>
    </row>
    <row r="41" spans="1:4" ht="12.75" customHeight="1">
      <c r="A41" s="9" t="s">
        <v>57</v>
      </c>
      <c r="B41" s="13"/>
      <c r="C41" s="13"/>
      <c r="D41" s="13">
        <f>B41-C41</f>
        <v>0</v>
      </c>
    </row>
    <row r="42" spans="1:4" ht="12.75" customHeight="1">
      <c r="A42" s="7" t="s">
        <v>76</v>
      </c>
      <c r="B42" s="13">
        <f>B43+B44+B45+B46+B47</f>
        <v>0</v>
      </c>
      <c r="C42" s="13">
        <f>C43+C44+C45+C46+C47</f>
        <v>0</v>
      </c>
      <c r="D42" s="13">
        <f>SUM(D43:D47)</f>
        <v>0</v>
      </c>
    </row>
    <row r="43" spans="1:4" ht="12.75" customHeight="1">
      <c r="A43" s="9" t="s">
        <v>53</v>
      </c>
      <c r="B43" s="8"/>
      <c r="C43" s="8"/>
      <c r="D43" s="8">
        <f>B43-C43</f>
        <v>0</v>
      </c>
    </row>
    <row r="44" spans="1:4" ht="12.75" customHeight="1">
      <c r="A44" s="9" t="s">
        <v>54</v>
      </c>
      <c r="B44" s="13"/>
      <c r="C44" s="13"/>
      <c r="D44" s="8">
        <f>B44-C44</f>
        <v>0</v>
      </c>
    </row>
    <row r="45" spans="1:4" ht="12.75" customHeight="1">
      <c r="A45" s="9" t="s">
        <v>55</v>
      </c>
      <c r="B45" s="13"/>
      <c r="C45" s="13"/>
      <c r="D45" s="13">
        <f>B45-C45</f>
        <v>0</v>
      </c>
    </row>
    <row r="46" spans="1:4" ht="12.75" customHeight="1">
      <c r="A46" s="9" t="s">
        <v>56</v>
      </c>
      <c r="B46" s="13"/>
      <c r="C46" s="13"/>
      <c r="D46" s="13">
        <f>B46-C46</f>
        <v>0</v>
      </c>
    </row>
    <row r="47" spans="1:4" ht="12.75" customHeight="1">
      <c r="A47" s="9" t="s">
        <v>57</v>
      </c>
      <c r="B47" s="13"/>
      <c r="C47" s="13"/>
      <c r="D47" s="13">
        <f>B47-C47</f>
        <v>0</v>
      </c>
    </row>
    <row r="48" spans="1:4" ht="12.75">
      <c r="A48" s="9" t="s">
        <v>60</v>
      </c>
      <c r="B48" s="8">
        <f>B13+B26+B39+B42</f>
        <v>233848.44000000006</v>
      </c>
      <c r="C48" s="8">
        <f>C13+C26+C39+C42</f>
        <v>267826.19</v>
      </c>
      <c r="D48" s="8">
        <f>D13+D26+D39+D42</f>
        <v>-33977.749999999985</v>
      </c>
    </row>
    <row r="50" spans="1:4" ht="12.75">
      <c r="A50" t="s">
        <v>61</v>
      </c>
      <c r="D50" s="12">
        <f>D48</f>
        <v>-33977.749999999985</v>
      </c>
    </row>
    <row r="52" spans="1:4" ht="12.75">
      <c r="A52" s="11" t="s">
        <v>62</v>
      </c>
      <c r="D52" s="12">
        <f>D53+D54</f>
        <v>19147.092</v>
      </c>
    </row>
    <row r="53" spans="1:4" ht="12.75">
      <c r="A53" s="11" t="s">
        <v>63</v>
      </c>
      <c r="D53" s="12">
        <f>(1.33*12*D5)</f>
        <v>16220.148000000001</v>
      </c>
    </row>
    <row r="54" spans="1:4" ht="12.75">
      <c r="A54" s="11" t="s">
        <v>64</v>
      </c>
      <c r="D54" s="12">
        <f>(0.24*12*D5)</f>
        <v>2926.944</v>
      </c>
    </row>
    <row r="55" spans="1:4" ht="12.75">
      <c r="A55" s="11" t="s">
        <v>65</v>
      </c>
      <c r="D55" s="12">
        <v>0</v>
      </c>
    </row>
    <row r="56" spans="1:4" ht="12.75">
      <c r="A56" s="11" t="s">
        <v>109</v>
      </c>
      <c r="D56" s="12">
        <f>698.7*0.22*4+(698.7*2.5)</f>
        <v>2361.6059999999998</v>
      </c>
    </row>
    <row r="57" spans="1:4" ht="12.75">
      <c r="A57" s="11" t="s">
        <v>121</v>
      </c>
      <c r="D57" s="12">
        <f>(2.66*6*D5)</f>
        <v>16220.148000000001</v>
      </c>
    </row>
    <row r="58" spans="1:4" ht="12.75">
      <c r="A58" s="11" t="s">
        <v>66</v>
      </c>
      <c r="D58" s="12">
        <v>0</v>
      </c>
    </row>
    <row r="59" spans="1:4" ht="12.75">
      <c r="A59" s="11" t="s">
        <v>108</v>
      </c>
      <c r="D59" s="12">
        <f>(0.72*3*D5)</f>
        <v>2195.208</v>
      </c>
    </row>
    <row r="60" spans="1:4" ht="12.75">
      <c r="A60" s="11" t="s">
        <v>67</v>
      </c>
      <c r="D60" s="12">
        <f>(1.45*12*D5)</f>
        <v>17683.62</v>
      </c>
    </row>
    <row r="61" spans="1:4" ht="12.75">
      <c r="A61" s="11" t="s">
        <v>68</v>
      </c>
      <c r="D61" s="12">
        <f>(5.11*12*D5)</f>
        <v>62319.516</v>
      </c>
    </row>
    <row r="62" spans="1:4" ht="12.75">
      <c r="A62" s="11" t="s">
        <v>69</v>
      </c>
      <c r="D62" s="12">
        <f>(0.29*12*D5)</f>
        <v>3536.7239999999993</v>
      </c>
    </row>
    <row r="63" spans="1:4" ht="12.75">
      <c r="A63" s="11" t="s">
        <v>107</v>
      </c>
      <c r="D63" s="12">
        <f>(3.87*12*D5)</f>
        <v>47196.971999999994</v>
      </c>
    </row>
    <row r="64" spans="1:4" ht="12.75">
      <c r="A64" s="11" t="s">
        <v>70</v>
      </c>
      <c r="D64" s="12">
        <f>2.25*12*D6</f>
        <v>648</v>
      </c>
    </row>
    <row r="65" spans="1:4" ht="12.75">
      <c r="A65" s="11" t="s">
        <v>71</v>
      </c>
      <c r="D65" s="12">
        <v>4155</v>
      </c>
    </row>
    <row r="66" spans="1:4" ht="12.75">
      <c r="A66" s="11" t="s">
        <v>72</v>
      </c>
      <c r="D66" s="12">
        <f>(0.57*12*D5)</f>
        <v>6951.491999999999</v>
      </c>
    </row>
    <row r="67" spans="1:4" ht="12.75" hidden="1">
      <c r="A67" s="14" t="s">
        <v>96</v>
      </c>
      <c r="D67" s="12">
        <v>0</v>
      </c>
    </row>
    <row r="68" spans="1:4" ht="12.75">
      <c r="A68" s="11"/>
      <c r="D68" s="12"/>
    </row>
    <row r="69" spans="1:4" ht="12.75">
      <c r="A69" s="11" t="s">
        <v>73</v>
      </c>
      <c r="D69" s="12">
        <f>D52+D55+D56+D57+D58+D59+D60+D61+D62+D63+D64+D65+D66+D67</f>
        <v>182415.378</v>
      </c>
    </row>
    <row r="70" spans="1:4" ht="12.75">
      <c r="A70" s="11"/>
      <c r="D70" s="12"/>
    </row>
    <row r="71" spans="1:4" ht="12.75">
      <c r="A71" t="s">
        <v>103</v>
      </c>
      <c r="D71" s="12">
        <f>C48-D69</f>
        <v>85410.812</v>
      </c>
    </row>
    <row r="73" spans="1:2" ht="12.75" hidden="1">
      <c r="A73">
        <v>345</v>
      </c>
      <c r="B73" t="s">
        <v>27</v>
      </c>
    </row>
    <row r="74" spans="1:2" ht="12.75" hidden="1">
      <c r="A74">
        <v>145</v>
      </c>
      <c r="B74" t="s">
        <v>27</v>
      </c>
    </row>
    <row r="75" spans="1:2" ht="12.75" hidden="1">
      <c r="A75">
        <v>2750</v>
      </c>
      <c r="B75" t="s">
        <v>27</v>
      </c>
    </row>
    <row r="76" spans="1:2" ht="12.75" hidden="1">
      <c r="A76">
        <v>915</v>
      </c>
      <c r="B76" t="s">
        <v>118</v>
      </c>
    </row>
    <row r="77" ht="12.75" hidden="1">
      <c r="A77">
        <f>SUM(A73:A76)</f>
        <v>4155</v>
      </c>
    </row>
    <row r="78" ht="12.75" hidden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2"/>
  </sheetPr>
  <dimension ref="A1:G92"/>
  <sheetViews>
    <sheetView tabSelected="1" zoomScalePageLayoutView="0" workbookViewId="0" topLeftCell="A52">
      <selection activeCell="A84" sqref="A84:IV95"/>
    </sheetView>
  </sheetViews>
  <sheetFormatPr defaultColWidth="9.140625" defaultRowHeight="12.75"/>
  <cols>
    <col min="2" max="2" width="12.421875" style="0" bestFit="1" customWidth="1"/>
    <col min="3" max="3" width="13.28125" style="0" bestFit="1" customWidth="1"/>
    <col min="4" max="4" width="12.00390625" style="0" bestFit="1" customWidth="1"/>
  </cols>
  <sheetData>
    <row r="1" ht="12.75">
      <c r="A1" t="s">
        <v>14</v>
      </c>
    </row>
    <row r="2" ht="12.75">
      <c r="A2" t="s">
        <v>4</v>
      </c>
    </row>
    <row r="3" spans="1:7" ht="12.75">
      <c r="A3" s="1" t="s">
        <v>34</v>
      </c>
      <c r="B3" s="2" t="s">
        <v>35</v>
      </c>
      <c r="C3" s="1" t="s">
        <v>97</v>
      </c>
      <c r="D3" s="1"/>
      <c r="E3" s="1" t="s">
        <v>36</v>
      </c>
      <c r="F3" s="3">
        <v>7</v>
      </c>
      <c r="G3" s="21">
        <v>2018</v>
      </c>
    </row>
    <row r="5" spans="1:5" ht="12.75">
      <c r="A5" t="s">
        <v>37</v>
      </c>
      <c r="D5" s="4">
        <v>1016.1</v>
      </c>
      <c r="E5" s="5" t="s">
        <v>74</v>
      </c>
    </row>
    <row r="6" spans="1:5" ht="12.75">
      <c r="A6" t="s">
        <v>38</v>
      </c>
      <c r="D6" s="4">
        <v>24</v>
      </c>
      <c r="E6" s="5"/>
    </row>
    <row r="7" spans="1:5" ht="12.75">
      <c r="A7" t="s">
        <v>39</v>
      </c>
      <c r="D7" s="4">
        <v>84</v>
      </c>
      <c r="E7" s="5" t="s">
        <v>40</v>
      </c>
    </row>
    <row r="8" spans="1:5" ht="12.75">
      <c r="A8" t="s">
        <v>41</v>
      </c>
      <c r="D8" s="4">
        <v>82.2</v>
      </c>
      <c r="E8" s="5" t="s">
        <v>74</v>
      </c>
    </row>
    <row r="9" spans="1:5" ht="12.75">
      <c r="A9" t="s">
        <v>42</v>
      </c>
      <c r="D9" s="4">
        <v>1723.5</v>
      </c>
      <c r="E9" s="5" t="s">
        <v>74</v>
      </c>
    </row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233134.37999999992</v>
      </c>
      <c r="C13" s="8">
        <f>SUM(C14:C25)</f>
        <v>216079.02000000002</v>
      </c>
      <c r="D13" s="8">
        <f>SUM(D14:D25)</f>
        <v>17055.36</v>
      </c>
    </row>
    <row r="14" spans="1:4" ht="12.75">
      <c r="A14" s="9" t="s">
        <v>59</v>
      </c>
      <c r="B14" s="8">
        <v>20758.93</v>
      </c>
      <c r="C14" s="8">
        <v>20676.93</v>
      </c>
      <c r="D14" s="8">
        <f aca="true" t="shared" si="0" ref="D14:D25">B14-C14</f>
        <v>82</v>
      </c>
    </row>
    <row r="15" spans="1:4" ht="12.75">
      <c r="A15" s="9" t="s">
        <v>47</v>
      </c>
      <c r="B15" s="8">
        <v>20758.93</v>
      </c>
      <c r="C15" s="13">
        <v>18425.78</v>
      </c>
      <c r="D15" s="8">
        <f t="shared" si="0"/>
        <v>2333.1500000000015</v>
      </c>
    </row>
    <row r="16" spans="1:4" ht="12.75">
      <c r="A16" s="9" t="s">
        <v>48</v>
      </c>
      <c r="B16" s="8">
        <v>20758.93</v>
      </c>
      <c r="C16" s="13">
        <v>20037.78</v>
      </c>
      <c r="D16" s="8">
        <f t="shared" si="0"/>
        <v>721.1500000000015</v>
      </c>
    </row>
    <row r="17" spans="1:4" ht="12.75">
      <c r="A17" s="9" t="s">
        <v>49</v>
      </c>
      <c r="B17" s="8">
        <v>20758.93</v>
      </c>
      <c r="C17" s="13">
        <v>17388.68</v>
      </c>
      <c r="D17" s="8">
        <f t="shared" si="0"/>
        <v>3370.25</v>
      </c>
    </row>
    <row r="18" spans="1:4" ht="12.75">
      <c r="A18" s="9" t="s">
        <v>50</v>
      </c>
      <c r="B18" s="8">
        <v>20758.93</v>
      </c>
      <c r="C18" s="13">
        <v>21035.29</v>
      </c>
      <c r="D18" s="8">
        <f t="shared" si="0"/>
        <v>-276.3600000000006</v>
      </c>
    </row>
    <row r="19" spans="1:4" ht="12.75">
      <c r="A19" s="9" t="s">
        <v>51</v>
      </c>
      <c r="B19" s="8">
        <v>20758.93</v>
      </c>
      <c r="C19" s="13">
        <v>20681.63</v>
      </c>
      <c r="D19" s="8">
        <f t="shared" si="0"/>
        <v>77.29999999999927</v>
      </c>
    </row>
    <row r="20" spans="1:4" ht="12.75">
      <c r="A20" s="9" t="s">
        <v>52</v>
      </c>
      <c r="B20" s="8">
        <v>18096.8</v>
      </c>
      <c r="C20" s="13">
        <v>15872.32</v>
      </c>
      <c r="D20" s="8">
        <f t="shared" si="0"/>
        <v>2224.4799999999996</v>
      </c>
    </row>
    <row r="21" spans="1:4" ht="12.75">
      <c r="A21" s="9" t="s">
        <v>53</v>
      </c>
      <c r="B21" s="8">
        <v>18096.8</v>
      </c>
      <c r="C21" s="13">
        <v>15931.6</v>
      </c>
      <c r="D21" s="8">
        <f t="shared" si="0"/>
        <v>2165.199999999999</v>
      </c>
    </row>
    <row r="22" spans="1:4" ht="12.75">
      <c r="A22" s="9" t="s">
        <v>54</v>
      </c>
      <c r="B22" s="8">
        <v>18096.8</v>
      </c>
      <c r="C22" s="13">
        <v>16577.6</v>
      </c>
      <c r="D22" s="8">
        <f t="shared" si="0"/>
        <v>1519.2000000000007</v>
      </c>
    </row>
    <row r="23" spans="1:4" ht="12.75">
      <c r="A23" s="9" t="s">
        <v>55</v>
      </c>
      <c r="B23" s="8">
        <v>18096.8</v>
      </c>
      <c r="C23" s="13">
        <v>17187.46</v>
      </c>
      <c r="D23" s="13">
        <f t="shared" si="0"/>
        <v>909.3400000000001</v>
      </c>
    </row>
    <row r="24" spans="1:4" ht="12.75">
      <c r="A24" s="9" t="s">
        <v>56</v>
      </c>
      <c r="B24" s="8">
        <v>18096.8</v>
      </c>
      <c r="C24" s="13">
        <v>16391.63</v>
      </c>
      <c r="D24" s="13">
        <f t="shared" si="0"/>
        <v>1705.1699999999983</v>
      </c>
    </row>
    <row r="25" spans="1:4" ht="12.75">
      <c r="A25" s="9" t="s">
        <v>57</v>
      </c>
      <c r="B25" s="8">
        <v>18096.8</v>
      </c>
      <c r="C25" s="13">
        <v>15872.32</v>
      </c>
      <c r="D25" s="13">
        <f t="shared" si="0"/>
        <v>2224.4799999999996</v>
      </c>
    </row>
    <row r="26" spans="1:4" ht="12.75">
      <c r="A26" s="7" t="s">
        <v>58</v>
      </c>
      <c r="B26" s="8">
        <f>SUM(B27:B38)</f>
        <v>46.08000000000001</v>
      </c>
      <c r="C26" s="8">
        <f>SUM(C27:C38)</f>
        <v>46.08000000000001</v>
      </c>
      <c r="D26" s="8">
        <f>SUM(D27:D38)</f>
        <v>0</v>
      </c>
    </row>
    <row r="27" spans="1:4" ht="12.75">
      <c r="A27" s="9" t="s">
        <v>59</v>
      </c>
      <c r="B27" s="8">
        <v>3.84</v>
      </c>
      <c r="C27" s="8">
        <v>3.84</v>
      </c>
      <c r="D27" s="8">
        <f aca="true" t="shared" si="1" ref="D27:D38">B27-C27</f>
        <v>0</v>
      </c>
    </row>
    <row r="28" spans="1:4" ht="12.75">
      <c r="A28" s="9" t="s">
        <v>47</v>
      </c>
      <c r="B28" s="8">
        <v>3.84</v>
      </c>
      <c r="C28" s="8">
        <v>3.84</v>
      </c>
      <c r="D28" s="8">
        <f t="shared" si="1"/>
        <v>0</v>
      </c>
    </row>
    <row r="29" spans="1:4" ht="12.75">
      <c r="A29" s="9" t="s">
        <v>48</v>
      </c>
      <c r="B29" s="8">
        <v>3.84</v>
      </c>
      <c r="C29" s="8">
        <v>3.84</v>
      </c>
      <c r="D29" s="8">
        <f t="shared" si="1"/>
        <v>0</v>
      </c>
    </row>
    <row r="30" spans="1:4" ht="12.75">
      <c r="A30" s="9" t="s">
        <v>49</v>
      </c>
      <c r="B30" s="8">
        <v>3.84</v>
      </c>
      <c r="C30" s="8">
        <v>3.84</v>
      </c>
      <c r="D30" s="8">
        <f t="shared" si="1"/>
        <v>0</v>
      </c>
    </row>
    <row r="31" spans="1:4" ht="12.75">
      <c r="A31" s="9" t="s">
        <v>50</v>
      </c>
      <c r="B31" s="8">
        <v>3.84</v>
      </c>
      <c r="C31" s="8">
        <v>3.84</v>
      </c>
      <c r="D31" s="8">
        <f t="shared" si="1"/>
        <v>0</v>
      </c>
    </row>
    <row r="32" spans="1:4" ht="12.75">
      <c r="A32" s="9" t="s">
        <v>51</v>
      </c>
      <c r="B32" s="8">
        <v>3.84</v>
      </c>
      <c r="C32" s="8">
        <v>3.84</v>
      </c>
      <c r="D32" s="8">
        <f t="shared" si="1"/>
        <v>0</v>
      </c>
    </row>
    <row r="33" spans="1:4" ht="12.75">
      <c r="A33" s="9" t="s">
        <v>52</v>
      </c>
      <c r="B33" s="8">
        <v>3.84</v>
      </c>
      <c r="C33" s="8">
        <v>3.84</v>
      </c>
      <c r="D33" s="8">
        <f t="shared" si="1"/>
        <v>0</v>
      </c>
    </row>
    <row r="34" spans="1:4" ht="12.75">
      <c r="A34" s="9" t="s">
        <v>53</v>
      </c>
      <c r="B34" s="8">
        <v>3.84</v>
      </c>
      <c r="C34" s="8">
        <v>3.84</v>
      </c>
      <c r="D34" s="8">
        <f t="shared" si="1"/>
        <v>0</v>
      </c>
    </row>
    <row r="35" spans="1:4" ht="12.75">
      <c r="A35" s="9" t="s">
        <v>54</v>
      </c>
      <c r="B35" s="8">
        <v>3.84</v>
      </c>
      <c r="C35" s="8">
        <v>3.84</v>
      </c>
      <c r="D35" s="8">
        <f t="shared" si="1"/>
        <v>0</v>
      </c>
    </row>
    <row r="36" spans="1:4" ht="12.75">
      <c r="A36" s="9" t="s">
        <v>55</v>
      </c>
      <c r="B36" s="8">
        <v>3.84</v>
      </c>
      <c r="C36" s="8">
        <v>3.84</v>
      </c>
      <c r="D36" s="13">
        <f t="shared" si="1"/>
        <v>0</v>
      </c>
    </row>
    <row r="37" spans="1:4" ht="12.75">
      <c r="A37" s="9" t="s">
        <v>56</v>
      </c>
      <c r="B37" s="8">
        <v>3.84</v>
      </c>
      <c r="C37" s="8">
        <v>3.84</v>
      </c>
      <c r="D37" s="13">
        <f t="shared" si="1"/>
        <v>0</v>
      </c>
    </row>
    <row r="38" spans="1:4" ht="12.75">
      <c r="A38" s="9" t="s">
        <v>57</v>
      </c>
      <c r="B38" s="8">
        <v>3.84</v>
      </c>
      <c r="C38" s="8">
        <v>3.84</v>
      </c>
      <c r="D38" s="13">
        <f t="shared" si="1"/>
        <v>0</v>
      </c>
    </row>
    <row r="39" spans="1:4" ht="13.5" customHeight="1">
      <c r="A39" s="7" t="s">
        <v>75</v>
      </c>
      <c r="B39" s="8">
        <f>SUM(B40:B51)</f>
        <v>0</v>
      </c>
      <c r="C39" s="8">
        <f>SUM(C40:C51)</f>
        <v>0</v>
      </c>
      <c r="D39" s="8">
        <f>SUM(D40:D51)</f>
        <v>0</v>
      </c>
    </row>
    <row r="40" spans="1:4" ht="13.5" customHeight="1">
      <c r="A40" s="9" t="s">
        <v>59</v>
      </c>
      <c r="B40" s="8"/>
      <c r="C40" s="8"/>
      <c r="D40" s="8">
        <f aca="true" t="shared" si="2" ref="D40:D46">B40-C40</f>
        <v>0</v>
      </c>
    </row>
    <row r="41" spans="1:4" ht="13.5" customHeight="1">
      <c r="A41" s="9" t="s">
        <v>47</v>
      </c>
      <c r="B41" s="13"/>
      <c r="C41" s="13"/>
      <c r="D41" s="8">
        <f t="shared" si="2"/>
        <v>0</v>
      </c>
    </row>
    <row r="42" spans="1:4" ht="13.5" customHeight="1">
      <c r="A42" s="9" t="s">
        <v>48</v>
      </c>
      <c r="B42" s="13"/>
      <c r="C42" s="13"/>
      <c r="D42" s="8">
        <f t="shared" si="2"/>
        <v>0</v>
      </c>
    </row>
    <row r="43" spans="1:4" ht="13.5" customHeight="1">
      <c r="A43" s="9" t="s">
        <v>49</v>
      </c>
      <c r="B43" s="13"/>
      <c r="C43" s="13"/>
      <c r="D43" s="8">
        <f t="shared" si="2"/>
        <v>0</v>
      </c>
    </row>
    <row r="44" spans="1:4" ht="13.5" customHeight="1">
      <c r="A44" s="9" t="s">
        <v>50</v>
      </c>
      <c r="B44" s="13"/>
      <c r="C44" s="13"/>
      <c r="D44" s="8">
        <f t="shared" si="2"/>
        <v>0</v>
      </c>
    </row>
    <row r="45" spans="1:4" ht="13.5" customHeight="1">
      <c r="A45" s="9" t="s">
        <v>51</v>
      </c>
      <c r="B45" s="13"/>
      <c r="C45" s="13"/>
      <c r="D45" s="8">
        <f t="shared" si="2"/>
        <v>0</v>
      </c>
    </row>
    <row r="46" spans="1:4" ht="13.5" customHeight="1">
      <c r="A46" s="9" t="s">
        <v>52</v>
      </c>
      <c r="B46" s="13"/>
      <c r="C46" s="13"/>
      <c r="D46" s="8">
        <f t="shared" si="2"/>
        <v>0</v>
      </c>
    </row>
    <row r="47" spans="1:4" ht="13.5" customHeight="1">
      <c r="A47" s="9" t="s">
        <v>53</v>
      </c>
      <c r="B47" s="8"/>
      <c r="C47" s="8"/>
      <c r="D47" s="8">
        <f>B47-C47</f>
        <v>0</v>
      </c>
    </row>
    <row r="48" spans="1:4" ht="13.5" customHeight="1">
      <c r="A48" s="9" t="s">
        <v>54</v>
      </c>
      <c r="B48" s="13"/>
      <c r="C48" s="13"/>
      <c r="D48" s="8">
        <f>B48-C48</f>
        <v>0</v>
      </c>
    </row>
    <row r="49" spans="1:4" ht="13.5" customHeight="1">
      <c r="A49" s="9" t="s">
        <v>55</v>
      </c>
      <c r="B49" s="13"/>
      <c r="C49" s="13"/>
      <c r="D49" s="13">
        <f>B49-C49</f>
        <v>0</v>
      </c>
    </row>
    <row r="50" spans="1:4" ht="12.75">
      <c r="A50" s="9" t="s">
        <v>56</v>
      </c>
      <c r="B50" s="13"/>
      <c r="C50" s="13"/>
      <c r="D50" s="13">
        <f>B50-C50</f>
        <v>0</v>
      </c>
    </row>
    <row r="51" spans="1:4" ht="12.75">
      <c r="A51" s="9" t="s">
        <v>57</v>
      </c>
      <c r="B51" s="13"/>
      <c r="C51" s="13"/>
      <c r="D51" s="13">
        <f>B51-C51</f>
        <v>0</v>
      </c>
    </row>
    <row r="52" spans="1:4" ht="12.75">
      <c r="A52" s="7" t="s">
        <v>76</v>
      </c>
      <c r="B52" s="13">
        <f>B53+B54+B55+B56+B57</f>
        <v>0</v>
      </c>
      <c r="C52" s="13">
        <f>C53+C54+C55+C56+C57</f>
        <v>0</v>
      </c>
      <c r="D52" s="13">
        <f>SUM(D53:D57)</f>
        <v>0</v>
      </c>
    </row>
    <row r="53" spans="1:4" ht="12.75">
      <c r="A53" s="9" t="s">
        <v>53</v>
      </c>
      <c r="B53" s="8"/>
      <c r="C53" s="8"/>
      <c r="D53" s="8">
        <f>B53-C53</f>
        <v>0</v>
      </c>
    </row>
    <row r="54" spans="1:4" ht="12.75">
      <c r="A54" s="9" t="s">
        <v>54</v>
      </c>
      <c r="B54" s="13"/>
      <c r="C54" s="13"/>
      <c r="D54" s="8">
        <f>B54-C54</f>
        <v>0</v>
      </c>
    </row>
    <row r="55" spans="1:4" ht="12.75">
      <c r="A55" s="9" t="s">
        <v>55</v>
      </c>
      <c r="B55" s="13"/>
      <c r="C55" s="13"/>
      <c r="D55" s="13">
        <f>B55-C55</f>
        <v>0</v>
      </c>
    </row>
    <row r="56" spans="1:4" ht="12.75">
      <c r="A56" s="9" t="s">
        <v>56</v>
      </c>
      <c r="B56" s="13"/>
      <c r="C56" s="13"/>
      <c r="D56" s="13">
        <f>B56-C56</f>
        <v>0</v>
      </c>
    </row>
    <row r="57" spans="1:4" ht="12.75">
      <c r="A57" s="9" t="s">
        <v>57</v>
      </c>
      <c r="B57" s="13"/>
      <c r="C57" s="13"/>
      <c r="D57" s="13">
        <f>B57-C57</f>
        <v>0</v>
      </c>
    </row>
    <row r="58" spans="1:4" ht="12.75">
      <c r="A58" s="9" t="s">
        <v>60</v>
      </c>
      <c r="B58" s="8">
        <f>B13+B26</f>
        <v>233180.4599999999</v>
      </c>
      <c r="C58" s="8">
        <f>C13+C26</f>
        <v>216125.1</v>
      </c>
      <c r="D58" s="8">
        <f>D13+D26</f>
        <v>17055.36</v>
      </c>
    </row>
    <row r="60" spans="1:4" ht="12.75">
      <c r="A60" t="s">
        <v>61</v>
      </c>
      <c r="D60" s="12">
        <f>D58</f>
        <v>17055.36</v>
      </c>
    </row>
    <row r="62" spans="1:4" ht="12.75">
      <c r="A62" s="11" t="s">
        <v>62</v>
      </c>
      <c r="D62" s="12">
        <f>D63+D64</f>
        <v>19143.324</v>
      </c>
    </row>
    <row r="63" spans="1:4" ht="12.75">
      <c r="A63" s="11" t="s">
        <v>63</v>
      </c>
      <c r="D63" s="12">
        <f>(1.33*12*D5)</f>
        <v>16216.956000000002</v>
      </c>
    </row>
    <row r="64" spans="1:4" ht="12.75">
      <c r="A64" s="11" t="s">
        <v>64</v>
      </c>
      <c r="D64" s="12">
        <f>(0.24*12*D5)</f>
        <v>2926.368</v>
      </c>
    </row>
    <row r="65" spans="1:4" ht="12.75">
      <c r="A65" s="11" t="s">
        <v>65</v>
      </c>
      <c r="D65" s="12">
        <v>0</v>
      </c>
    </row>
    <row r="66" spans="1:4" ht="12.75">
      <c r="A66" s="11" t="s">
        <v>109</v>
      </c>
      <c r="D66" s="12">
        <f>700.5*0.22*4+(700.5*2.5)</f>
        <v>2367.69</v>
      </c>
    </row>
    <row r="67" spans="1:4" ht="12.75">
      <c r="A67" s="11" t="s">
        <v>121</v>
      </c>
      <c r="D67" s="12">
        <f>(2.66*6*D5)</f>
        <v>16216.956000000002</v>
      </c>
    </row>
    <row r="68" spans="1:4" ht="12.75" hidden="1">
      <c r="A68" s="11" t="s">
        <v>66</v>
      </c>
      <c r="D68" s="12">
        <v>0</v>
      </c>
    </row>
    <row r="69" spans="1:4" ht="12.75">
      <c r="A69" s="11" t="s">
        <v>108</v>
      </c>
      <c r="D69" s="12">
        <f>(0.72*3*D5)</f>
        <v>2194.7760000000003</v>
      </c>
    </row>
    <row r="70" spans="1:4" ht="12.75">
      <c r="A70" s="11" t="s">
        <v>67</v>
      </c>
      <c r="D70" s="12">
        <f>(1.45*12*D5)</f>
        <v>17680.14</v>
      </c>
    </row>
    <row r="71" spans="1:4" ht="12.75">
      <c r="A71" s="11" t="s">
        <v>68</v>
      </c>
      <c r="D71" s="12">
        <f>(5.11*12*D5)</f>
        <v>62307.25200000001</v>
      </c>
    </row>
    <row r="72" spans="1:4" ht="12.75">
      <c r="A72" s="11" t="s">
        <v>69</v>
      </c>
      <c r="D72" s="12">
        <f>(0.29*12*D5)</f>
        <v>3536.028</v>
      </c>
    </row>
    <row r="73" spans="1:4" ht="12.75">
      <c r="A73" s="11" t="s">
        <v>107</v>
      </c>
      <c r="D73" s="12">
        <f>(3.87*12*D5)</f>
        <v>47187.684</v>
      </c>
    </row>
    <row r="74" spans="1:4" ht="12.75">
      <c r="A74" s="11" t="s">
        <v>70</v>
      </c>
      <c r="D74" s="12">
        <f>2.25*12*D6</f>
        <v>648</v>
      </c>
    </row>
    <row r="75" spans="1:4" ht="12.75">
      <c r="A75" s="11" t="s">
        <v>71</v>
      </c>
      <c r="D75" s="12">
        <v>9683</v>
      </c>
    </row>
    <row r="76" spans="1:4" ht="12.75">
      <c r="A76" s="11" t="s">
        <v>72</v>
      </c>
      <c r="D76" s="12">
        <f>(0.57*12*D5)</f>
        <v>6950.124</v>
      </c>
    </row>
    <row r="77" spans="1:4" ht="12.75" hidden="1">
      <c r="A77" s="14" t="s">
        <v>96</v>
      </c>
      <c r="D77" s="12">
        <v>0</v>
      </c>
    </row>
    <row r="78" spans="1:4" ht="12.75">
      <c r="A78" s="11"/>
      <c r="D78" s="12"/>
    </row>
    <row r="79" spans="1:4" ht="12.75">
      <c r="A79" s="11" t="s">
        <v>73</v>
      </c>
      <c r="D79" s="12">
        <f>D62+D65+D66+D67+D68+D69+D70+D71+D72+D73+D74+D75+D76+D77</f>
        <v>187914.97400000002</v>
      </c>
    </row>
    <row r="80" spans="1:4" ht="12.75">
      <c r="A80" s="11"/>
      <c r="D80" s="12"/>
    </row>
    <row r="81" spans="1:4" ht="12.75">
      <c r="A81" t="s">
        <v>103</v>
      </c>
      <c r="D81" s="12">
        <f>C58-D79</f>
        <v>28210.12599999999</v>
      </c>
    </row>
    <row r="84" ht="12.75" hidden="1">
      <c r="A84" s="11" t="s">
        <v>71</v>
      </c>
    </row>
    <row r="85" ht="12.75" hidden="1"/>
    <row r="86" spans="1:2" ht="12.75" hidden="1">
      <c r="A86">
        <v>241</v>
      </c>
      <c r="B86" t="s">
        <v>27</v>
      </c>
    </row>
    <row r="87" spans="1:2" ht="12.75" hidden="1">
      <c r="A87">
        <v>3673</v>
      </c>
      <c r="B87" t="s">
        <v>181</v>
      </c>
    </row>
    <row r="88" spans="1:2" ht="12.75" hidden="1">
      <c r="A88">
        <v>145</v>
      </c>
      <c r="B88" t="s">
        <v>27</v>
      </c>
    </row>
    <row r="89" spans="1:2" ht="12.75" hidden="1">
      <c r="A89">
        <v>2750</v>
      </c>
      <c r="B89" t="s">
        <v>27</v>
      </c>
    </row>
    <row r="90" spans="1:2" ht="12.75" hidden="1">
      <c r="A90">
        <v>1178</v>
      </c>
      <c r="B90" t="s">
        <v>214</v>
      </c>
    </row>
    <row r="91" spans="1:2" ht="12.75" hidden="1">
      <c r="A91">
        <v>1696</v>
      </c>
      <c r="B91" t="s">
        <v>118</v>
      </c>
    </row>
    <row r="92" ht="12.75" hidden="1">
      <c r="A92">
        <f>SUM(A86:A91)</f>
        <v>9683</v>
      </c>
    </row>
    <row r="93" ht="12.75" hidden="1"/>
    <row r="94" ht="12.75" hidden="1"/>
    <row r="95" ht="12.75" hidden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G74"/>
  <sheetViews>
    <sheetView zoomScalePageLayoutView="0" workbookViewId="0" topLeftCell="A1">
      <selection activeCell="A1" sqref="A1:IV2"/>
    </sheetView>
  </sheetViews>
  <sheetFormatPr defaultColWidth="9.140625" defaultRowHeight="12.75"/>
  <cols>
    <col min="2" max="3" width="12.421875" style="0" bestFit="1" customWidth="1"/>
    <col min="4" max="4" width="12.00390625" style="0" bestFit="1" customWidth="1"/>
  </cols>
  <sheetData>
    <row r="1" ht="12.75">
      <c r="A1" t="s">
        <v>2</v>
      </c>
    </row>
    <row r="2" ht="12.75">
      <c r="A2" t="s">
        <v>205</v>
      </c>
    </row>
    <row r="3" spans="1:7" ht="12.75">
      <c r="A3" s="1" t="s">
        <v>34</v>
      </c>
      <c r="B3" s="2" t="s">
        <v>35</v>
      </c>
      <c r="C3" s="1" t="s">
        <v>77</v>
      </c>
      <c r="D3" s="1"/>
      <c r="E3" s="1" t="s">
        <v>36</v>
      </c>
      <c r="F3" s="3" t="s">
        <v>80</v>
      </c>
      <c r="G3" s="21">
        <v>2018</v>
      </c>
    </row>
    <row r="5" spans="1:5" ht="12.75">
      <c r="A5" t="s">
        <v>37</v>
      </c>
      <c r="D5" s="4">
        <v>1380.8</v>
      </c>
      <c r="E5" s="5" t="s">
        <v>74</v>
      </c>
    </row>
    <row r="6" spans="1:5" ht="12.75">
      <c r="A6" t="s">
        <v>38</v>
      </c>
      <c r="D6" s="4">
        <v>53</v>
      </c>
      <c r="E6" s="5"/>
    </row>
    <row r="7" spans="1:5" ht="12.75">
      <c r="A7" t="s">
        <v>39</v>
      </c>
      <c r="D7" s="4">
        <v>109</v>
      </c>
      <c r="E7" s="5" t="s">
        <v>40</v>
      </c>
    </row>
    <row r="8" spans="1:5" ht="12.75">
      <c r="A8" t="s">
        <v>41</v>
      </c>
      <c r="D8" s="4">
        <v>134</v>
      </c>
      <c r="E8" s="5" t="s">
        <v>74</v>
      </c>
    </row>
    <row r="9" spans="1:5" ht="12.75">
      <c r="A9" t="s">
        <v>42</v>
      </c>
      <c r="D9" s="4">
        <v>1077</v>
      </c>
      <c r="E9" s="5" t="s">
        <v>74</v>
      </c>
    </row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364619.5</v>
      </c>
      <c r="C13" s="8">
        <f>SUM(C14:C25)</f>
        <v>370497.30000000005</v>
      </c>
      <c r="D13" s="8">
        <f>SUM(D14:D25)</f>
        <v>-5877.799999999999</v>
      </c>
    </row>
    <row r="14" spans="1:4" ht="12.75">
      <c r="A14" s="9" t="s">
        <v>59</v>
      </c>
      <c r="B14" s="8">
        <v>33677.33</v>
      </c>
      <c r="C14" s="8">
        <v>23156.95</v>
      </c>
      <c r="D14" s="8">
        <f aca="true" t="shared" si="0" ref="D14:D25">B14-C14</f>
        <v>10520.380000000001</v>
      </c>
    </row>
    <row r="15" spans="1:4" ht="12.75">
      <c r="A15" s="9" t="s">
        <v>47</v>
      </c>
      <c r="B15" s="8">
        <v>33677.33</v>
      </c>
      <c r="C15" s="13">
        <v>20263.91</v>
      </c>
      <c r="D15" s="8">
        <f t="shared" si="0"/>
        <v>13413.420000000002</v>
      </c>
    </row>
    <row r="16" spans="1:4" ht="12.75">
      <c r="A16" s="9" t="s">
        <v>48</v>
      </c>
      <c r="B16" s="8">
        <v>33677.33</v>
      </c>
      <c r="C16" s="13">
        <v>34025.16</v>
      </c>
      <c r="D16" s="8">
        <f t="shared" si="0"/>
        <v>-347.83000000000175</v>
      </c>
    </row>
    <row r="17" spans="1:4" ht="12.75">
      <c r="A17" s="9" t="s">
        <v>49</v>
      </c>
      <c r="B17" s="8">
        <f>33507-5142.48</f>
        <v>28364.52</v>
      </c>
      <c r="C17" s="13">
        <v>33465.52</v>
      </c>
      <c r="D17" s="8">
        <f t="shared" si="0"/>
        <v>-5100.999999999996</v>
      </c>
    </row>
    <row r="18" spans="1:4" ht="12.75">
      <c r="A18" s="9" t="s">
        <v>50</v>
      </c>
      <c r="B18" s="8">
        <v>33507</v>
      </c>
      <c r="C18" s="13">
        <v>33525.74</v>
      </c>
      <c r="D18" s="8">
        <f t="shared" si="0"/>
        <v>-18.739999999997963</v>
      </c>
    </row>
    <row r="19" spans="1:4" ht="12.75">
      <c r="A19" s="9" t="s">
        <v>51</v>
      </c>
      <c r="B19" s="8">
        <v>33507</v>
      </c>
      <c r="C19" s="13">
        <v>27306.7</v>
      </c>
      <c r="D19" s="8">
        <f t="shared" si="0"/>
        <v>6200.299999999999</v>
      </c>
    </row>
    <row r="20" spans="1:4" ht="12.75">
      <c r="A20" s="9" t="s">
        <v>52</v>
      </c>
      <c r="B20" s="13">
        <v>21198.13</v>
      </c>
      <c r="C20" s="13">
        <v>40924.98</v>
      </c>
      <c r="D20" s="8">
        <f t="shared" si="0"/>
        <v>-19726.850000000002</v>
      </c>
    </row>
    <row r="21" spans="1:4" ht="12.75">
      <c r="A21" s="9" t="s">
        <v>53</v>
      </c>
      <c r="B21" s="13">
        <v>29401.31</v>
      </c>
      <c r="C21" s="13">
        <v>38434.73</v>
      </c>
      <c r="D21" s="8">
        <f t="shared" si="0"/>
        <v>-9033.420000000002</v>
      </c>
    </row>
    <row r="22" spans="1:4" ht="12.75">
      <c r="A22" s="9" t="s">
        <v>54</v>
      </c>
      <c r="B22" s="13">
        <v>29440.69</v>
      </c>
      <c r="C22" s="13">
        <v>33770.02</v>
      </c>
      <c r="D22" s="8">
        <f t="shared" si="0"/>
        <v>-4329.329999999998</v>
      </c>
    </row>
    <row r="23" spans="1:4" ht="12.75">
      <c r="A23" s="9" t="s">
        <v>55</v>
      </c>
      <c r="B23" s="13">
        <v>29440.69</v>
      </c>
      <c r="C23" s="13">
        <v>18519.11</v>
      </c>
      <c r="D23" s="13">
        <f t="shared" si="0"/>
        <v>10921.579999999998</v>
      </c>
    </row>
    <row r="24" spans="1:4" ht="12.75">
      <c r="A24" s="9" t="s">
        <v>56</v>
      </c>
      <c r="B24" s="13">
        <v>29440.69</v>
      </c>
      <c r="C24" s="13">
        <v>34865.22</v>
      </c>
      <c r="D24" s="13">
        <f t="shared" si="0"/>
        <v>-5424.5300000000025</v>
      </c>
    </row>
    <row r="25" spans="1:4" ht="12.75">
      <c r="A25" s="9" t="s">
        <v>57</v>
      </c>
      <c r="B25" s="13">
        <v>29287.48</v>
      </c>
      <c r="C25" s="13">
        <v>32239.26</v>
      </c>
      <c r="D25" s="13">
        <f t="shared" si="0"/>
        <v>-2951.779999999999</v>
      </c>
    </row>
    <row r="26" spans="1:4" ht="12.75">
      <c r="A26" s="7" t="s">
        <v>58</v>
      </c>
      <c r="B26" s="8">
        <f>SUM(B27:B38)</f>
        <v>312</v>
      </c>
      <c r="C26" s="8">
        <f>SUM(C27:C38)</f>
        <v>359.31000000000006</v>
      </c>
      <c r="D26" s="8">
        <f>SUM(D27:D38)</f>
        <v>-47.309999999999995</v>
      </c>
    </row>
    <row r="27" spans="1:4" ht="12.75">
      <c r="A27" s="9" t="s">
        <v>59</v>
      </c>
      <c r="B27" s="8">
        <v>26</v>
      </c>
      <c r="C27" s="8">
        <v>29.83</v>
      </c>
      <c r="D27" s="8">
        <f aca="true" t="shared" si="1" ref="D27:D38">B27-C27</f>
        <v>-3.8299999999999983</v>
      </c>
    </row>
    <row r="28" spans="1:4" ht="12.75">
      <c r="A28" s="9" t="s">
        <v>47</v>
      </c>
      <c r="B28" s="8">
        <v>26</v>
      </c>
      <c r="C28" s="13">
        <v>22.07</v>
      </c>
      <c r="D28" s="8">
        <f t="shared" si="1"/>
        <v>3.9299999999999997</v>
      </c>
    </row>
    <row r="29" spans="1:4" ht="12.75">
      <c r="A29" s="9" t="s">
        <v>48</v>
      </c>
      <c r="B29" s="8">
        <v>26</v>
      </c>
      <c r="C29" s="13">
        <v>29.95</v>
      </c>
      <c r="D29" s="8">
        <f t="shared" si="1"/>
        <v>-3.9499999999999993</v>
      </c>
    </row>
    <row r="30" spans="1:4" ht="12.75">
      <c r="A30" s="9" t="s">
        <v>49</v>
      </c>
      <c r="B30" s="8">
        <v>26</v>
      </c>
      <c r="C30" s="13">
        <v>39.18</v>
      </c>
      <c r="D30" s="8">
        <f t="shared" si="1"/>
        <v>-13.18</v>
      </c>
    </row>
    <row r="31" spans="1:4" ht="12.75">
      <c r="A31" s="9" t="s">
        <v>50</v>
      </c>
      <c r="B31" s="8">
        <v>26</v>
      </c>
      <c r="C31" s="13">
        <v>33.87</v>
      </c>
      <c r="D31" s="8">
        <f t="shared" si="1"/>
        <v>-7.869999999999997</v>
      </c>
    </row>
    <row r="32" spans="1:4" ht="12.75">
      <c r="A32" s="9" t="s">
        <v>51</v>
      </c>
      <c r="B32" s="8">
        <v>26</v>
      </c>
      <c r="C32" s="13">
        <v>36.95</v>
      </c>
      <c r="D32" s="8">
        <f t="shared" si="1"/>
        <v>-10.950000000000003</v>
      </c>
    </row>
    <row r="33" spans="1:4" ht="12.75">
      <c r="A33" s="9" t="s">
        <v>52</v>
      </c>
      <c r="B33" s="8">
        <v>26</v>
      </c>
      <c r="C33" s="13">
        <v>38.71</v>
      </c>
      <c r="D33" s="8">
        <f t="shared" si="1"/>
        <v>-12.71</v>
      </c>
    </row>
    <row r="34" spans="1:4" ht="12.75">
      <c r="A34" s="9" t="s">
        <v>53</v>
      </c>
      <c r="B34" s="8">
        <v>26</v>
      </c>
      <c r="C34" s="13">
        <v>32.16</v>
      </c>
      <c r="D34" s="8">
        <f t="shared" si="1"/>
        <v>-6.159999999999997</v>
      </c>
    </row>
    <row r="35" spans="1:4" ht="12.75">
      <c r="A35" s="9" t="s">
        <v>54</v>
      </c>
      <c r="B35" s="8">
        <v>26</v>
      </c>
      <c r="C35" s="13">
        <v>23.6</v>
      </c>
      <c r="D35" s="8">
        <f t="shared" si="1"/>
        <v>2.3999999999999986</v>
      </c>
    </row>
    <row r="36" spans="1:4" ht="12.75">
      <c r="A36" s="9" t="s">
        <v>55</v>
      </c>
      <c r="B36" s="8">
        <v>26</v>
      </c>
      <c r="C36" s="13">
        <v>26.86</v>
      </c>
      <c r="D36" s="13">
        <f t="shared" si="1"/>
        <v>-0.8599999999999994</v>
      </c>
    </row>
    <row r="37" spans="1:4" ht="12.75">
      <c r="A37" s="9" t="s">
        <v>56</v>
      </c>
      <c r="B37" s="8">
        <v>26</v>
      </c>
      <c r="C37" s="13">
        <v>25.96</v>
      </c>
      <c r="D37" s="13">
        <f t="shared" si="1"/>
        <v>0.03999999999999915</v>
      </c>
    </row>
    <row r="38" spans="1:4" ht="12.75">
      <c r="A38" s="9" t="s">
        <v>57</v>
      </c>
      <c r="B38" s="13">
        <v>26</v>
      </c>
      <c r="C38" s="13">
        <v>20.17</v>
      </c>
      <c r="D38" s="13">
        <f t="shared" si="1"/>
        <v>5.829999999999998</v>
      </c>
    </row>
    <row r="39" spans="1:4" ht="12.75">
      <c r="A39" s="9" t="s">
        <v>60</v>
      </c>
      <c r="B39" s="8">
        <f>B13+B26</f>
        <v>364931.5</v>
      </c>
      <c r="C39" s="8">
        <f>C13+C26</f>
        <v>370856.61000000004</v>
      </c>
      <c r="D39" s="8">
        <f>D13+D26</f>
        <v>-5925.11</v>
      </c>
    </row>
    <row r="41" spans="1:4" ht="12.75">
      <c r="A41" t="s">
        <v>61</v>
      </c>
      <c r="D41" s="12">
        <f>D39</f>
        <v>-5925.11</v>
      </c>
    </row>
    <row r="43" spans="1:4" ht="12.75">
      <c r="A43" s="11" t="s">
        <v>62</v>
      </c>
      <c r="D43" s="12">
        <f>D44+D45</f>
        <v>26014.271999999997</v>
      </c>
    </row>
    <row r="44" spans="1:4" ht="12.75">
      <c r="A44" s="11" t="s">
        <v>63</v>
      </c>
      <c r="D44" s="12">
        <f>(1.33*12*D5)</f>
        <v>22037.568</v>
      </c>
    </row>
    <row r="45" spans="1:4" ht="12.75">
      <c r="A45" s="11" t="s">
        <v>64</v>
      </c>
      <c r="D45" s="12">
        <f>(0.24*12*D5)</f>
        <v>3976.7039999999997</v>
      </c>
    </row>
    <row r="46" spans="1:4" ht="12.75">
      <c r="A46" s="11" t="s">
        <v>65</v>
      </c>
      <c r="D46" s="12">
        <v>0</v>
      </c>
    </row>
    <row r="47" spans="1:4" ht="12.75">
      <c r="A47" s="11" t="s">
        <v>109</v>
      </c>
      <c r="D47" s="12">
        <f>948.4*0.22*4+(948.4*2.5)</f>
        <v>3205.592</v>
      </c>
    </row>
    <row r="48" spans="1:4" ht="12.75">
      <c r="A48" s="11" t="s">
        <v>121</v>
      </c>
      <c r="D48" s="12">
        <f>(2.66*6*D5)</f>
        <v>22037.568</v>
      </c>
    </row>
    <row r="49" spans="1:4" ht="12.75">
      <c r="A49" s="11" t="s">
        <v>66</v>
      </c>
      <c r="D49" s="12">
        <v>0</v>
      </c>
    </row>
    <row r="50" spans="1:4" ht="12.75">
      <c r="A50" s="11" t="s">
        <v>108</v>
      </c>
      <c r="D50" s="12">
        <f>(0.72*3*D5)</f>
        <v>2982.5280000000002</v>
      </c>
    </row>
    <row r="51" spans="1:4" ht="12.75">
      <c r="A51" s="11" t="s">
        <v>67</v>
      </c>
      <c r="D51" s="12">
        <f>(1.45*12*D5)</f>
        <v>24025.92</v>
      </c>
    </row>
    <row r="52" spans="1:4" ht="12.75">
      <c r="A52" s="11" t="s">
        <v>68</v>
      </c>
      <c r="D52" s="12">
        <f>(5.11*12*D5)</f>
        <v>84670.656</v>
      </c>
    </row>
    <row r="53" spans="1:4" ht="12.75">
      <c r="A53" s="11" t="s">
        <v>69</v>
      </c>
      <c r="D53" s="12">
        <v>0</v>
      </c>
    </row>
    <row r="54" spans="1:4" ht="12.75">
      <c r="A54" s="11" t="s">
        <v>110</v>
      </c>
      <c r="D54" s="12">
        <f>(3.87*12*D5)</f>
        <v>64124.35199999999</v>
      </c>
    </row>
    <row r="55" spans="1:4" ht="12.75">
      <c r="A55" s="11" t="s">
        <v>70</v>
      </c>
      <c r="D55" s="12">
        <f>2.25*12*D5</f>
        <v>37281.6</v>
      </c>
    </row>
    <row r="56" spans="1:4" ht="12.75">
      <c r="A56" s="11" t="s">
        <v>71</v>
      </c>
      <c r="D56" s="12">
        <v>43344.67</v>
      </c>
    </row>
    <row r="57" spans="1:4" ht="12.75">
      <c r="A57" s="11" t="s">
        <v>72</v>
      </c>
      <c r="D57" s="12">
        <f>(0.95*12*D5)</f>
        <v>15741.119999999997</v>
      </c>
    </row>
    <row r="58" spans="1:4" ht="12.75" hidden="1">
      <c r="A58" s="14" t="s">
        <v>96</v>
      </c>
      <c r="D58" s="12">
        <v>0</v>
      </c>
    </row>
    <row r="59" spans="1:4" ht="12.75">
      <c r="A59" s="11"/>
      <c r="D59" s="12"/>
    </row>
    <row r="60" spans="1:4" ht="12.75">
      <c r="A60" s="11" t="s">
        <v>73</v>
      </c>
      <c r="D60" s="12">
        <f>D43+D46+D47+D48+D49+D50+D51+D52+D53+D54+D55+D56+D57</f>
        <v>323428.278</v>
      </c>
    </row>
    <row r="61" spans="1:4" ht="12.75">
      <c r="A61" s="11"/>
      <c r="D61" s="12"/>
    </row>
    <row r="62" spans="1:4" ht="12.75">
      <c r="A62" t="s">
        <v>99</v>
      </c>
      <c r="D62" s="12">
        <f>C39-D60</f>
        <v>47428.33200000005</v>
      </c>
    </row>
    <row r="64" spans="1:2" ht="12.75" hidden="1">
      <c r="A64">
        <v>212</v>
      </c>
      <c r="B64" t="s">
        <v>27</v>
      </c>
    </row>
    <row r="65" spans="1:2" ht="12.75" hidden="1">
      <c r="A65">
        <v>409</v>
      </c>
      <c r="B65" t="s">
        <v>202</v>
      </c>
    </row>
    <row r="66" spans="1:2" ht="12.75" hidden="1">
      <c r="A66">
        <v>1543</v>
      </c>
      <c r="B66" t="s">
        <v>16</v>
      </c>
    </row>
    <row r="67" spans="1:2" ht="12.75" hidden="1">
      <c r="A67">
        <v>718</v>
      </c>
      <c r="B67" t="s">
        <v>27</v>
      </c>
    </row>
    <row r="68" spans="1:2" ht="12.75" hidden="1">
      <c r="A68">
        <v>7925</v>
      </c>
      <c r="B68" t="s">
        <v>124</v>
      </c>
    </row>
    <row r="69" spans="1:2" ht="12.75" hidden="1">
      <c r="A69">
        <v>537</v>
      </c>
      <c r="B69" t="s">
        <v>143</v>
      </c>
    </row>
    <row r="70" spans="1:2" ht="12.75" hidden="1">
      <c r="A70">
        <v>2711</v>
      </c>
      <c r="B70" t="s">
        <v>20</v>
      </c>
    </row>
    <row r="71" spans="1:2" ht="12.75" hidden="1">
      <c r="A71">
        <v>4549</v>
      </c>
      <c r="B71" t="s">
        <v>25</v>
      </c>
    </row>
    <row r="72" spans="1:2" ht="12.75" hidden="1">
      <c r="A72">
        <v>8293.67</v>
      </c>
      <c r="B72" t="s">
        <v>128</v>
      </c>
    </row>
    <row r="73" spans="1:2" ht="12.75" hidden="1">
      <c r="A73">
        <v>16447</v>
      </c>
      <c r="B73" t="s">
        <v>129</v>
      </c>
    </row>
    <row r="74" ht="12.75" hidden="1">
      <c r="A74">
        <f>SUM(A64:A73)</f>
        <v>43344.67</v>
      </c>
    </row>
  </sheetData>
  <sheetProtection/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G75"/>
  <sheetViews>
    <sheetView zoomScalePageLayoutView="0" workbookViewId="0" topLeftCell="A59">
      <selection activeCell="A64" sqref="A64:IV75"/>
    </sheetView>
  </sheetViews>
  <sheetFormatPr defaultColWidth="9.140625" defaultRowHeight="12.75"/>
  <cols>
    <col min="2" max="3" width="12.421875" style="0" bestFit="1" customWidth="1"/>
    <col min="4" max="4" width="12.28125" style="0" bestFit="1" customWidth="1"/>
  </cols>
  <sheetData>
    <row r="1" ht="12.75">
      <c r="A1" t="s">
        <v>2</v>
      </c>
    </row>
    <row r="2" ht="12.75">
      <c r="A2" t="s">
        <v>205</v>
      </c>
    </row>
    <row r="3" spans="1:7" ht="12.75">
      <c r="A3" s="1" t="s">
        <v>34</v>
      </c>
      <c r="B3" s="2" t="s">
        <v>35</v>
      </c>
      <c r="C3" s="1" t="s">
        <v>77</v>
      </c>
      <c r="D3" s="1"/>
      <c r="E3" s="1" t="s">
        <v>36</v>
      </c>
      <c r="F3" s="3" t="s">
        <v>89</v>
      </c>
      <c r="G3" s="21">
        <v>2018</v>
      </c>
    </row>
    <row r="5" spans="1:5" ht="12.75">
      <c r="A5" t="s">
        <v>37</v>
      </c>
      <c r="D5" s="4">
        <v>2078.5</v>
      </c>
      <c r="E5" s="5" t="s">
        <v>74</v>
      </c>
    </row>
    <row r="6" spans="1:5" ht="12.75">
      <c r="A6" t="s">
        <v>38</v>
      </c>
      <c r="D6" s="4">
        <v>40</v>
      </c>
      <c r="E6" s="5"/>
    </row>
    <row r="7" spans="1:5" ht="12.75">
      <c r="A7" t="s">
        <v>39</v>
      </c>
      <c r="D7" s="4">
        <v>103</v>
      </c>
      <c r="E7" s="5" t="s">
        <v>40</v>
      </c>
    </row>
    <row r="8" spans="1:5" ht="12.75">
      <c r="A8" t="s">
        <v>41</v>
      </c>
      <c r="D8" s="4">
        <v>247</v>
      </c>
      <c r="E8" s="5" t="s">
        <v>74</v>
      </c>
    </row>
    <row r="9" spans="1:5" ht="12.75">
      <c r="A9" t="s">
        <v>42</v>
      </c>
      <c r="D9" s="4">
        <v>2928</v>
      </c>
      <c r="E9" s="5" t="s">
        <v>74</v>
      </c>
    </row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539379.52</v>
      </c>
      <c r="C13" s="8">
        <f>SUM(C14:C25)</f>
        <v>538083.8500000001</v>
      </c>
      <c r="D13" s="8">
        <f>SUM(D14:D25)</f>
        <v>1295.669999999991</v>
      </c>
    </row>
    <row r="14" spans="1:4" ht="12.75">
      <c r="A14" s="9" t="s">
        <v>59</v>
      </c>
      <c r="B14" s="8">
        <v>47659.9</v>
      </c>
      <c r="C14" s="8">
        <v>54142.78</v>
      </c>
      <c r="D14" s="8">
        <f aca="true" t="shared" si="0" ref="D14:D25">B14-C14</f>
        <v>-6482.879999999997</v>
      </c>
    </row>
    <row r="15" spans="1:4" ht="12.75">
      <c r="A15" s="9" t="s">
        <v>47</v>
      </c>
      <c r="B15" s="8">
        <v>47659.9</v>
      </c>
      <c r="C15" s="13">
        <v>41327.3</v>
      </c>
      <c r="D15" s="8">
        <f t="shared" si="0"/>
        <v>6332.5999999999985</v>
      </c>
    </row>
    <row r="16" spans="1:4" ht="12.75">
      <c r="A16" s="9" t="s">
        <v>48</v>
      </c>
      <c r="B16" s="8">
        <v>47659.9</v>
      </c>
      <c r="C16" s="13">
        <v>43773.69</v>
      </c>
      <c r="D16" s="8">
        <f t="shared" si="0"/>
        <v>3886.209999999999</v>
      </c>
    </row>
    <row r="17" spans="1:4" ht="12.75">
      <c r="A17" s="9" t="s">
        <v>49</v>
      </c>
      <c r="B17" s="8">
        <v>47659.9</v>
      </c>
      <c r="C17" s="13">
        <v>48531.08</v>
      </c>
      <c r="D17" s="8">
        <f t="shared" si="0"/>
        <v>-871.1800000000003</v>
      </c>
    </row>
    <row r="18" spans="1:4" ht="12.75">
      <c r="A18" s="9" t="s">
        <v>50</v>
      </c>
      <c r="B18" s="8">
        <v>47678.25</v>
      </c>
      <c r="C18" s="13">
        <v>45444.05</v>
      </c>
      <c r="D18" s="8">
        <f t="shared" si="0"/>
        <v>2234.199999999997</v>
      </c>
    </row>
    <row r="19" spans="1:4" ht="12.75">
      <c r="A19" s="9" t="s">
        <v>51</v>
      </c>
      <c r="B19" s="8">
        <v>47678.25</v>
      </c>
      <c r="C19" s="13">
        <v>48227.26</v>
      </c>
      <c r="D19" s="8">
        <f t="shared" si="0"/>
        <v>-549.010000000002</v>
      </c>
    </row>
    <row r="20" spans="1:4" ht="12.75">
      <c r="A20" s="9" t="s">
        <v>52</v>
      </c>
      <c r="B20" s="8">
        <v>42230.57</v>
      </c>
      <c r="C20" s="13">
        <v>48416.65</v>
      </c>
      <c r="D20" s="8">
        <f t="shared" si="0"/>
        <v>-6186.080000000002</v>
      </c>
    </row>
    <row r="21" spans="1:4" ht="12.75">
      <c r="A21" s="9" t="s">
        <v>53</v>
      </c>
      <c r="B21" s="8">
        <v>42230.57</v>
      </c>
      <c r="C21" s="13">
        <v>45181.74</v>
      </c>
      <c r="D21" s="8">
        <f t="shared" si="0"/>
        <v>-2951.1699999999983</v>
      </c>
    </row>
    <row r="22" spans="1:4" ht="12.75">
      <c r="A22" s="9" t="s">
        <v>54</v>
      </c>
      <c r="B22" s="8">
        <v>42230.57</v>
      </c>
      <c r="C22" s="13">
        <v>49102.25</v>
      </c>
      <c r="D22" s="8">
        <f t="shared" si="0"/>
        <v>-6871.68</v>
      </c>
    </row>
    <row r="23" spans="1:4" ht="12.75">
      <c r="A23" s="9" t="s">
        <v>55</v>
      </c>
      <c r="B23" s="8">
        <v>42230.57</v>
      </c>
      <c r="C23" s="13">
        <v>34980.5</v>
      </c>
      <c r="D23" s="13">
        <f t="shared" si="0"/>
        <v>7250.07</v>
      </c>
    </row>
    <row r="24" spans="1:4" ht="12.75">
      <c r="A24" s="9" t="s">
        <v>56</v>
      </c>
      <c r="B24" s="8">
        <v>42230.57</v>
      </c>
      <c r="C24" s="13">
        <v>37519.89</v>
      </c>
      <c r="D24" s="13">
        <f t="shared" si="0"/>
        <v>4710.68</v>
      </c>
    </row>
    <row r="25" spans="1:4" ht="12.75">
      <c r="A25" s="9" t="s">
        <v>57</v>
      </c>
      <c r="B25" s="8">
        <v>42230.57</v>
      </c>
      <c r="C25" s="13">
        <v>41436.66</v>
      </c>
      <c r="D25" s="13">
        <f t="shared" si="0"/>
        <v>793.9099999999962</v>
      </c>
    </row>
    <row r="26" spans="1:4" ht="12.75">
      <c r="A26" s="7" t="s">
        <v>58</v>
      </c>
      <c r="B26" s="8">
        <f>SUM(B27:B38)</f>
        <v>100.44000000000001</v>
      </c>
      <c r="C26" s="8">
        <f>SUM(C27:C38)</f>
        <v>82.13</v>
      </c>
      <c r="D26" s="8">
        <f>SUM(D27:D38)</f>
        <v>18.30999999999999</v>
      </c>
    </row>
    <row r="27" spans="1:4" ht="12.75">
      <c r="A27" s="9" t="s">
        <v>59</v>
      </c>
      <c r="B27" s="8">
        <v>8.37</v>
      </c>
      <c r="C27" s="8">
        <v>2.45</v>
      </c>
      <c r="D27" s="8">
        <f aca="true" t="shared" si="1" ref="D27:D38">B27-C27</f>
        <v>5.919999999999999</v>
      </c>
    </row>
    <row r="28" spans="1:4" ht="12.75">
      <c r="A28" s="9" t="s">
        <v>47</v>
      </c>
      <c r="B28" s="8">
        <v>8.37</v>
      </c>
      <c r="C28" s="13">
        <v>2.46</v>
      </c>
      <c r="D28" s="8">
        <f t="shared" si="1"/>
        <v>5.909999999999999</v>
      </c>
    </row>
    <row r="29" spans="1:4" ht="12.75">
      <c r="A29" s="9" t="s">
        <v>48</v>
      </c>
      <c r="B29" s="8">
        <v>8.37</v>
      </c>
      <c r="C29" s="13">
        <v>2.46</v>
      </c>
      <c r="D29" s="8">
        <f t="shared" si="1"/>
        <v>5.909999999999999</v>
      </c>
    </row>
    <row r="30" spans="1:4" ht="12.75">
      <c r="A30" s="9" t="s">
        <v>49</v>
      </c>
      <c r="B30" s="8">
        <v>8.37</v>
      </c>
      <c r="C30" s="13">
        <v>2.46</v>
      </c>
      <c r="D30" s="8">
        <f t="shared" si="1"/>
        <v>5.909999999999999</v>
      </c>
    </row>
    <row r="31" spans="1:4" ht="12.75">
      <c r="A31" s="9" t="s">
        <v>50</v>
      </c>
      <c r="B31" s="8">
        <v>8.37</v>
      </c>
      <c r="C31" s="13">
        <v>2.46</v>
      </c>
      <c r="D31" s="8">
        <f t="shared" si="1"/>
        <v>5.909999999999999</v>
      </c>
    </row>
    <row r="32" spans="1:4" ht="12.75">
      <c r="A32" s="9" t="s">
        <v>51</v>
      </c>
      <c r="B32" s="8">
        <v>8.37</v>
      </c>
      <c r="C32" s="13">
        <v>26.4</v>
      </c>
      <c r="D32" s="8">
        <f t="shared" si="1"/>
        <v>-18.03</v>
      </c>
    </row>
    <row r="33" spans="1:4" ht="12.75">
      <c r="A33" s="9" t="s">
        <v>52</v>
      </c>
      <c r="B33" s="8">
        <v>8.37</v>
      </c>
      <c r="C33" s="13">
        <v>24.31</v>
      </c>
      <c r="D33" s="8">
        <f t="shared" si="1"/>
        <v>-15.94</v>
      </c>
    </row>
    <row r="34" spans="1:4" ht="12.75">
      <c r="A34" s="9" t="s">
        <v>53</v>
      </c>
      <c r="B34" s="8">
        <v>8.37</v>
      </c>
      <c r="C34" s="13">
        <v>7.01</v>
      </c>
      <c r="D34" s="8">
        <f t="shared" si="1"/>
        <v>1.3599999999999994</v>
      </c>
    </row>
    <row r="35" spans="1:4" ht="12.75">
      <c r="A35" s="9" t="s">
        <v>54</v>
      </c>
      <c r="B35" s="8">
        <v>8.37</v>
      </c>
      <c r="C35" s="13">
        <v>2.46</v>
      </c>
      <c r="D35" s="8">
        <f t="shared" si="1"/>
        <v>5.909999999999999</v>
      </c>
    </row>
    <row r="36" spans="1:4" ht="12.75">
      <c r="A36" s="9" t="s">
        <v>55</v>
      </c>
      <c r="B36" s="8">
        <v>8.37</v>
      </c>
      <c r="C36" s="13">
        <v>3.22</v>
      </c>
      <c r="D36" s="13">
        <f t="shared" si="1"/>
        <v>5.149999999999999</v>
      </c>
    </row>
    <row r="37" spans="1:4" ht="12.75">
      <c r="A37" s="9" t="s">
        <v>56</v>
      </c>
      <c r="B37" s="8">
        <v>8.37</v>
      </c>
      <c r="C37" s="13">
        <v>3.98</v>
      </c>
      <c r="D37" s="13">
        <f t="shared" si="1"/>
        <v>4.389999999999999</v>
      </c>
    </row>
    <row r="38" spans="1:4" ht="12.75">
      <c r="A38" s="9" t="s">
        <v>57</v>
      </c>
      <c r="B38" s="8">
        <v>8.37</v>
      </c>
      <c r="C38" s="13">
        <v>2.46</v>
      </c>
      <c r="D38" s="13">
        <f t="shared" si="1"/>
        <v>5.909999999999999</v>
      </c>
    </row>
    <row r="39" spans="1:4" ht="12.75">
      <c r="A39" s="9" t="s">
        <v>60</v>
      </c>
      <c r="B39" s="8">
        <f>B13+B26</f>
        <v>539479.96</v>
      </c>
      <c r="C39" s="8">
        <f>C13+C26</f>
        <v>538165.9800000001</v>
      </c>
      <c r="D39" s="8">
        <f>D13+D26</f>
        <v>1313.979999999991</v>
      </c>
    </row>
    <row r="41" spans="1:4" ht="12.75">
      <c r="A41" t="s">
        <v>61</v>
      </c>
      <c r="D41" s="12">
        <f>D39</f>
        <v>1313.979999999991</v>
      </c>
    </row>
    <row r="43" spans="1:4" ht="12.75">
      <c r="A43" s="11" t="s">
        <v>62</v>
      </c>
      <c r="D43" s="12">
        <f>D44+D45</f>
        <v>39158.94</v>
      </c>
    </row>
    <row r="44" spans="1:4" ht="12.75">
      <c r="A44" s="11" t="s">
        <v>63</v>
      </c>
      <c r="D44" s="12">
        <f>(1.33*12*D5)</f>
        <v>33172.86</v>
      </c>
    </row>
    <row r="45" spans="1:4" ht="12.75">
      <c r="A45" s="11" t="s">
        <v>64</v>
      </c>
      <c r="D45" s="12">
        <f>(0.24*12*D5)</f>
        <v>5986.08</v>
      </c>
    </row>
    <row r="46" spans="1:4" ht="12.75">
      <c r="A46" s="11" t="s">
        <v>65</v>
      </c>
      <c r="D46" s="12">
        <v>0</v>
      </c>
    </row>
    <row r="47" spans="1:4" ht="12.75">
      <c r="A47" s="11" t="s">
        <v>109</v>
      </c>
      <c r="D47" s="12">
        <f>874.2*0.22*4+(874.2*2.5)</f>
        <v>2954.7960000000003</v>
      </c>
    </row>
    <row r="48" spans="1:4" ht="12.75">
      <c r="A48" s="11" t="s">
        <v>121</v>
      </c>
      <c r="D48" s="12">
        <f>(2.66*6*D5)</f>
        <v>33172.86</v>
      </c>
    </row>
    <row r="49" spans="1:4" ht="12.75">
      <c r="A49" s="11" t="s">
        <v>66</v>
      </c>
      <c r="D49" s="12">
        <v>0</v>
      </c>
    </row>
    <row r="50" spans="1:4" ht="12.75">
      <c r="A50" s="11" t="s">
        <v>108</v>
      </c>
      <c r="D50" s="12">
        <f>(0.72*3*D5)</f>
        <v>4489.56</v>
      </c>
    </row>
    <row r="51" spans="1:4" ht="12.75">
      <c r="A51" s="11" t="s">
        <v>67</v>
      </c>
      <c r="D51" s="12">
        <f>(1.45*12*D5)</f>
        <v>36165.899999999994</v>
      </c>
    </row>
    <row r="52" spans="1:4" ht="12.75">
      <c r="A52" s="11" t="s">
        <v>68</v>
      </c>
      <c r="D52" s="12">
        <f>(5.11*12*D5)</f>
        <v>127453.62000000001</v>
      </c>
    </row>
    <row r="53" spans="1:4" ht="12.75">
      <c r="A53" s="11" t="s">
        <v>69</v>
      </c>
      <c r="D53" s="12">
        <f>(0.29*12*D5)</f>
        <v>7233.179999999999</v>
      </c>
    </row>
    <row r="54" spans="1:4" ht="12.75">
      <c r="A54" s="11" t="s">
        <v>110</v>
      </c>
      <c r="D54" s="12">
        <f>(3.87*12*D5)</f>
        <v>96525.54</v>
      </c>
    </row>
    <row r="55" spans="1:4" ht="12.75">
      <c r="A55" s="11" t="s">
        <v>70</v>
      </c>
      <c r="D55" s="12">
        <f>2.25*12*D6</f>
        <v>1080</v>
      </c>
    </row>
    <row r="56" spans="1:4" ht="12.75">
      <c r="A56" s="11" t="s">
        <v>71</v>
      </c>
      <c r="D56" s="12">
        <v>88188.67</v>
      </c>
    </row>
    <row r="57" spans="1:4" ht="12.75">
      <c r="A57" s="11" t="s">
        <v>72</v>
      </c>
      <c r="D57" s="12">
        <f>(0.91*12*D5)</f>
        <v>22697.22</v>
      </c>
    </row>
    <row r="58" spans="1:4" ht="12.75" hidden="1">
      <c r="A58" s="14" t="s">
        <v>96</v>
      </c>
      <c r="D58" s="12">
        <v>0</v>
      </c>
    </row>
    <row r="59" spans="1:4" ht="12.75">
      <c r="A59" s="11"/>
      <c r="D59" s="12"/>
    </row>
    <row r="60" spans="1:4" ht="12.75">
      <c r="A60" s="11" t="s">
        <v>73</v>
      </c>
      <c r="D60" s="12">
        <f>D43+D46+D47+D48+D49+D50+D51+D52+D53+D54+D55+D56+D57</f>
        <v>459120.28599999996</v>
      </c>
    </row>
    <row r="61" spans="1:4" ht="12.75">
      <c r="A61" s="11"/>
      <c r="D61" s="12"/>
    </row>
    <row r="62" spans="1:4" ht="12.75">
      <c r="A62" t="s">
        <v>99</v>
      </c>
      <c r="D62" s="12">
        <f>C39-D60</f>
        <v>79045.69400000013</v>
      </c>
    </row>
    <row r="64" spans="1:2" ht="12.75" hidden="1">
      <c r="A64">
        <v>4119</v>
      </c>
      <c r="B64" t="s">
        <v>119</v>
      </c>
    </row>
    <row r="65" spans="1:2" ht="12.75" hidden="1">
      <c r="A65">
        <v>1184</v>
      </c>
      <c r="B65" t="s">
        <v>18</v>
      </c>
    </row>
    <row r="66" spans="1:2" ht="12.75" hidden="1">
      <c r="A66">
        <v>56410</v>
      </c>
      <c r="B66" t="s">
        <v>32</v>
      </c>
    </row>
    <row r="67" spans="1:2" ht="12.75" hidden="1">
      <c r="A67">
        <v>3612</v>
      </c>
      <c r="B67" t="s">
        <v>143</v>
      </c>
    </row>
    <row r="68" spans="1:2" ht="12.75" hidden="1">
      <c r="A68">
        <v>1336</v>
      </c>
      <c r="B68" t="s">
        <v>138</v>
      </c>
    </row>
    <row r="69" spans="1:2" ht="12.75" hidden="1">
      <c r="A69">
        <v>4341</v>
      </c>
      <c r="B69" t="s">
        <v>144</v>
      </c>
    </row>
    <row r="70" spans="1:2" ht="12.75" hidden="1">
      <c r="A70">
        <v>3106</v>
      </c>
      <c r="B70" t="s">
        <v>145</v>
      </c>
    </row>
    <row r="71" spans="1:2" ht="12.75" hidden="1">
      <c r="A71">
        <v>2711</v>
      </c>
      <c r="B71" t="s">
        <v>20</v>
      </c>
    </row>
    <row r="72" spans="1:2" ht="12.75" hidden="1">
      <c r="A72">
        <v>1763</v>
      </c>
      <c r="B72" t="s">
        <v>138</v>
      </c>
    </row>
    <row r="73" spans="1:2" ht="12.75" hidden="1">
      <c r="A73">
        <v>8293.67</v>
      </c>
      <c r="B73" t="s">
        <v>128</v>
      </c>
    </row>
    <row r="74" spans="1:2" ht="12.75" hidden="1">
      <c r="A74">
        <v>1313</v>
      </c>
      <c r="B74" t="s">
        <v>124</v>
      </c>
    </row>
    <row r="75" ht="12.75" hidden="1">
      <c r="A75">
        <f>SUM(A64:A74)</f>
        <v>88188.67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G83"/>
  <sheetViews>
    <sheetView zoomScalePageLayoutView="0" workbookViewId="0" topLeftCell="A46">
      <selection activeCell="A64" sqref="A64:IV83"/>
    </sheetView>
  </sheetViews>
  <sheetFormatPr defaultColWidth="9.140625" defaultRowHeight="12.75"/>
  <cols>
    <col min="2" max="3" width="14.140625" style="0" bestFit="1" customWidth="1"/>
    <col min="4" max="4" width="14.00390625" style="0" bestFit="1" customWidth="1"/>
  </cols>
  <sheetData>
    <row r="1" ht="12.75">
      <c r="A1" t="s">
        <v>2</v>
      </c>
    </row>
    <row r="2" ht="12.75">
      <c r="A2" t="s">
        <v>205</v>
      </c>
    </row>
    <row r="3" spans="1:7" ht="12.75">
      <c r="A3" s="1" t="s">
        <v>34</v>
      </c>
      <c r="B3" s="2" t="s">
        <v>35</v>
      </c>
      <c r="C3" s="1" t="s">
        <v>77</v>
      </c>
      <c r="D3" s="1"/>
      <c r="E3" s="1" t="s">
        <v>36</v>
      </c>
      <c r="F3" s="3">
        <v>9</v>
      </c>
      <c r="G3" s="21">
        <v>2018</v>
      </c>
    </row>
    <row r="5" spans="1:5" ht="12.75">
      <c r="A5" t="s">
        <v>37</v>
      </c>
      <c r="D5" s="4">
        <v>6528.9</v>
      </c>
      <c r="E5" s="5" t="s">
        <v>74</v>
      </c>
    </row>
    <row r="6" spans="1:5" ht="12.75">
      <c r="A6" t="s">
        <v>38</v>
      </c>
      <c r="D6" s="4">
        <v>121</v>
      </c>
      <c r="E6" s="5"/>
    </row>
    <row r="7" spans="1:5" ht="12.75">
      <c r="A7" t="s">
        <v>39</v>
      </c>
      <c r="D7" s="4">
        <v>278</v>
      </c>
      <c r="E7" s="5" t="s">
        <v>40</v>
      </c>
    </row>
    <row r="8" spans="1:5" ht="12.75">
      <c r="A8" t="s">
        <v>41</v>
      </c>
      <c r="D8" s="4">
        <v>755</v>
      </c>
      <c r="E8" s="5" t="s">
        <v>74</v>
      </c>
    </row>
    <row r="9" spans="1:5" ht="12.75">
      <c r="A9" t="s">
        <v>42</v>
      </c>
      <c r="D9" s="4">
        <v>4332</v>
      </c>
      <c r="E9" s="5" t="s">
        <v>74</v>
      </c>
    </row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1690332.2999999998</v>
      </c>
      <c r="C13" s="8">
        <f>SUM(C14:C25)</f>
        <v>1666425.0500000003</v>
      </c>
      <c r="D13" s="8">
        <f>SUM(D14:D25)</f>
        <v>23907.249999999927</v>
      </c>
    </row>
    <row r="14" spans="1:4" ht="12.75">
      <c r="A14" s="9" t="s">
        <v>59</v>
      </c>
      <c r="B14" s="8">
        <v>149446.59</v>
      </c>
      <c r="C14" s="8">
        <v>147834.21</v>
      </c>
      <c r="D14" s="8">
        <f aca="true" t="shared" si="0" ref="D14:D25">B14-C14</f>
        <v>1612.3800000000047</v>
      </c>
    </row>
    <row r="15" spans="1:4" ht="12.75">
      <c r="A15" s="9" t="s">
        <v>47</v>
      </c>
      <c r="B15" s="8">
        <v>149446.59</v>
      </c>
      <c r="C15" s="13">
        <v>140208.51</v>
      </c>
      <c r="D15" s="8">
        <f t="shared" si="0"/>
        <v>9238.079999999987</v>
      </c>
    </row>
    <row r="16" spans="1:4" ht="12.75">
      <c r="A16" s="9" t="s">
        <v>48</v>
      </c>
      <c r="B16" s="8">
        <v>149446.59</v>
      </c>
      <c r="C16" s="13">
        <v>153729.08</v>
      </c>
      <c r="D16" s="8">
        <f t="shared" si="0"/>
        <v>-4282.489999999991</v>
      </c>
    </row>
    <row r="17" spans="1:4" ht="12.75">
      <c r="A17" s="9" t="s">
        <v>49</v>
      </c>
      <c r="B17" s="8">
        <v>149446.59</v>
      </c>
      <c r="C17" s="13">
        <v>135312.16</v>
      </c>
      <c r="D17" s="8">
        <f t="shared" si="0"/>
        <v>14134.429999999993</v>
      </c>
    </row>
    <row r="18" spans="1:4" ht="12.75">
      <c r="A18" s="9" t="s">
        <v>50</v>
      </c>
      <c r="B18" s="8">
        <v>149446.59</v>
      </c>
      <c r="C18" s="13">
        <v>152006.04</v>
      </c>
      <c r="D18" s="8">
        <f t="shared" si="0"/>
        <v>-2559.4500000000116</v>
      </c>
    </row>
    <row r="19" spans="1:4" ht="12.75">
      <c r="A19" s="9" t="s">
        <v>51</v>
      </c>
      <c r="B19" s="8">
        <v>149446.59</v>
      </c>
      <c r="C19" s="13">
        <v>150344.57</v>
      </c>
      <c r="D19" s="8">
        <f t="shared" si="0"/>
        <v>-897.9800000000105</v>
      </c>
    </row>
    <row r="20" spans="1:4" ht="12.75">
      <c r="A20" s="9" t="s">
        <v>52</v>
      </c>
      <c r="B20" s="8">
        <v>132275.46</v>
      </c>
      <c r="C20" s="13">
        <v>130717.18</v>
      </c>
      <c r="D20" s="8">
        <f t="shared" si="0"/>
        <v>1558.2799999999988</v>
      </c>
    </row>
    <row r="21" spans="1:4" ht="12.75">
      <c r="A21" s="9" t="s">
        <v>53</v>
      </c>
      <c r="B21" s="8">
        <v>132275.46</v>
      </c>
      <c r="C21" s="13">
        <v>137550.51</v>
      </c>
      <c r="D21" s="8">
        <f t="shared" si="0"/>
        <v>-5275.0500000000175</v>
      </c>
    </row>
    <row r="22" spans="1:4" ht="12.75">
      <c r="A22" s="9" t="s">
        <v>54</v>
      </c>
      <c r="B22" s="8">
        <v>132275.46</v>
      </c>
      <c r="C22" s="13">
        <v>124443.85</v>
      </c>
      <c r="D22" s="8">
        <f t="shared" si="0"/>
        <v>7831.609999999986</v>
      </c>
    </row>
    <row r="23" spans="1:4" ht="12.75">
      <c r="A23" s="9" t="s">
        <v>55</v>
      </c>
      <c r="B23" s="8">
        <v>132275.46</v>
      </c>
      <c r="C23" s="13">
        <v>134618.56</v>
      </c>
      <c r="D23" s="13">
        <f t="shared" si="0"/>
        <v>-2343.100000000006</v>
      </c>
    </row>
    <row r="24" spans="1:4" ht="12.75">
      <c r="A24" s="9" t="s">
        <v>56</v>
      </c>
      <c r="B24" s="8">
        <v>132275.46</v>
      </c>
      <c r="C24" s="13">
        <v>134747.36</v>
      </c>
      <c r="D24" s="13">
        <f t="shared" si="0"/>
        <v>-2471.899999999994</v>
      </c>
    </row>
    <row r="25" spans="1:4" ht="12.75">
      <c r="A25" s="9" t="s">
        <v>57</v>
      </c>
      <c r="B25" s="8">
        <v>132275.46</v>
      </c>
      <c r="C25" s="13">
        <v>124913.02</v>
      </c>
      <c r="D25" s="13">
        <f t="shared" si="0"/>
        <v>7362.439999999988</v>
      </c>
    </row>
    <row r="26" spans="1:4" ht="12.75">
      <c r="A26" s="7" t="s">
        <v>58</v>
      </c>
      <c r="B26" s="8">
        <f>SUM(B27:B38)</f>
        <v>336.36</v>
      </c>
      <c r="C26" s="8">
        <f>SUM(C27:C38)</f>
        <v>362.83000000000004</v>
      </c>
      <c r="D26" s="8">
        <f>SUM(D27:D38)</f>
        <v>-26.47</v>
      </c>
    </row>
    <row r="27" spans="1:4" ht="12.75">
      <c r="A27" s="9" t="s">
        <v>59</v>
      </c>
      <c r="B27" s="8">
        <v>28.03</v>
      </c>
      <c r="C27" s="8">
        <v>33.63</v>
      </c>
      <c r="D27" s="8">
        <f aca="true" t="shared" si="1" ref="D27:D38">B27-C27</f>
        <v>-5.600000000000001</v>
      </c>
    </row>
    <row r="28" spans="1:4" ht="12.75">
      <c r="A28" s="9" t="s">
        <v>47</v>
      </c>
      <c r="B28" s="8">
        <v>28.03</v>
      </c>
      <c r="C28" s="13">
        <v>16.2</v>
      </c>
      <c r="D28" s="8">
        <f t="shared" si="1"/>
        <v>11.830000000000002</v>
      </c>
    </row>
    <row r="29" spans="1:4" ht="12.75">
      <c r="A29" s="9" t="s">
        <v>48</v>
      </c>
      <c r="B29" s="8">
        <v>28.03</v>
      </c>
      <c r="C29" s="13">
        <v>34.95</v>
      </c>
      <c r="D29" s="8">
        <f t="shared" si="1"/>
        <v>-6.920000000000002</v>
      </c>
    </row>
    <row r="30" spans="1:4" ht="12.75">
      <c r="A30" s="9" t="s">
        <v>49</v>
      </c>
      <c r="B30" s="8">
        <v>28.03</v>
      </c>
      <c r="C30" s="13">
        <v>33.08</v>
      </c>
      <c r="D30" s="8">
        <f t="shared" si="1"/>
        <v>-5.049999999999997</v>
      </c>
    </row>
    <row r="31" spans="1:4" ht="12.75">
      <c r="A31" s="9" t="s">
        <v>50</v>
      </c>
      <c r="B31" s="8">
        <v>28.03</v>
      </c>
      <c r="C31" s="13">
        <v>28.74</v>
      </c>
      <c r="D31" s="8">
        <f t="shared" si="1"/>
        <v>-0.7099999999999973</v>
      </c>
    </row>
    <row r="32" spans="1:4" ht="12.75">
      <c r="A32" s="9" t="s">
        <v>51</v>
      </c>
      <c r="B32" s="8">
        <v>28.03</v>
      </c>
      <c r="C32" s="13">
        <v>19.76</v>
      </c>
      <c r="D32" s="8">
        <f t="shared" si="1"/>
        <v>8.27</v>
      </c>
    </row>
    <row r="33" spans="1:4" ht="12.75">
      <c r="A33" s="9" t="s">
        <v>52</v>
      </c>
      <c r="B33" s="8">
        <v>28.03</v>
      </c>
      <c r="C33" s="13">
        <v>30.02</v>
      </c>
      <c r="D33" s="8">
        <f t="shared" si="1"/>
        <v>-1.9899999999999984</v>
      </c>
    </row>
    <row r="34" spans="1:4" ht="12.75">
      <c r="A34" s="9" t="s">
        <v>53</v>
      </c>
      <c r="B34" s="8">
        <v>28.03</v>
      </c>
      <c r="C34" s="13">
        <v>30.28</v>
      </c>
      <c r="D34" s="8">
        <f t="shared" si="1"/>
        <v>-2.25</v>
      </c>
    </row>
    <row r="35" spans="1:4" ht="12.75">
      <c r="A35" s="9" t="s">
        <v>54</v>
      </c>
      <c r="B35" s="8">
        <v>28.03</v>
      </c>
      <c r="C35" s="13">
        <v>29.35</v>
      </c>
      <c r="D35" s="8">
        <f t="shared" si="1"/>
        <v>-1.3200000000000003</v>
      </c>
    </row>
    <row r="36" spans="1:4" ht="12.75">
      <c r="A36" s="9" t="s">
        <v>55</v>
      </c>
      <c r="B36" s="8">
        <v>28.03</v>
      </c>
      <c r="C36" s="13">
        <v>36.6</v>
      </c>
      <c r="D36" s="13">
        <f t="shared" si="1"/>
        <v>-8.57</v>
      </c>
    </row>
    <row r="37" spans="1:4" ht="12.75">
      <c r="A37" s="9" t="s">
        <v>56</v>
      </c>
      <c r="B37" s="8">
        <v>28.03</v>
      </c>
      <c r="C37" s="13">
        <v>33.34</v>
      </c>
      <c r="D37" s="13">
        <f t="shared" si="1"/>
        <v>-5.310000000000002</v>
      </c>
    </row>
    <row r="38" spans="1:4" ht="12.75">
      <c r="A38" s="9" t="s">
        <v>57</v>
      </c>
      <c r="B38" s="8">
        <v>28.03</v>
      </c>
      <c r="C38" s="13">
        <v>36.88</v>
      </c>
      <c r="D38" s="13">
        <f t="shared" si="1"/>
        <v>-8.850000000000001</v>
      </c>
    </row>
    <row r="39" spans="1:4" ht="12.75">
      <c r="A39" s="9" t="s">
        <v>60</v>
      </c>
      <c r="B39" s="8">
        <f>B13+B26</f>
        <v>1690668.66</v>
      </c>
      <c r="C39" s="8">
        <f>C13+C26</f>
        <v>1666787.8800000004</v>
      </c>
      <c r="D39" s="8">
        <f>D13+D26</f>
        <v>23880.779999999926</v>
      </c>
    </row>
    <row r="41" spans="1:4" ht="12.75">
      <c r="A41" t="s">
        <v>61</v>
      </c>
      <c r="D41" s="12">
        <f>D39</f>
        <v>23880.779999999926</v>
      </c>
    </row>
    <row r="43" spans="1:4" ht="12.75">
      <c r="A43" s="11" t="s">
        <v>62</v>
      </c>
      <c r="D43" s="12">
        <f>D44+D45</f>
        <v>123004.47600000001</v>
      </c>
    </row>
    <row r="44" spans="1:4" ht="12.75">
      <c r="A44" s="11" t="s">
        <v>63</v>
      </c>
      <c r="D44" s="12">
        <f>(1.33*12*D5)</f>
        <v>104201.244</v>
      </c>
    </row>
    <row r="45" spans="1:4" ht="12.75">
      <c r="A45" s="11" t="s">
        <v>64</v>
      </c>
      <c r="D45" s="12">
        <f>(0.24*12*D5)</f>
        <v>18803.232</v>
      </c>
    </row>
    <row r="46" spans="1:4" ht="12.75">
      <c r="A46" s="11" t="s">
        <v>65</v>
      </c>
      <c r="D46" s="12">
        <v>0</v>
      </c>
    </row>
    <row r="47" spans="1:4" ht="12.75">
      <c r="A47" s="11" t="s">
        <v>109</v>
      </c>
      <c r="D47" s="12">
        <f>2654*0.22*4+(2654*2.5)</f>
        <v>8970.52</v>
      </c>
    </row>
    <row r="48" spans="1:4" ht="12.75">
      <c r="A48" s="11" t="s">
        <v>121</v>
      </c>
      <c r="D48" s="12">
        <f>(2.66*12*D5)</f>
        <v>208402.488</v>
      </c>
    </row>
    <row r="49" spans="1:4" ht="12.75" hidden="1">
      <c r="A49" s="11" t="s">
        <v>66</v>
      </c>
      <c r="D49" s="12">
        <v>0</v>
      </c>
    </row>
    <row r="50" spans="1:4" ht="12.75">
      <c r="A50" s="11" t="s">
        <v>108</v>
      </c>
      <c r="D50" s="12">
        <f>(0.72*3*D5)+10000</f>
        <v>24102.424</v>
      </c>
    </row>
    <row r="51" spans="1:4" ht="12.75">
      <c r="A51" s="11" t="s">
        <v>67</v>
      </c>
      <c r="D51" s="12">
        <f>(1.45*12*D5)+20000</f>
        <v>133602.86</v>
      </c>
    </row>
    <row r="52" spans="1:4" ht="12.75">
      <c r="A52" s="11" t="s">
        <v>68</v>
      </c>
      <c r="D52" s="12">
        <f>(5.83*12*D5)</f>
        <v>456761.84400000004</v>
      </c>
    </row>
    <row r="53" spans="1:4" ht="12.75">
      <c r="A53" s="11" t="s">
        <v>69</v>
      </c>
      <c r="D53" s="12">
        <f>(0.29*12*D5)</f>
        <v>22720.571999999996</v>
      </c>
    </row>
    <row r="54" spans="1:4" ht="12.75">
      <c r="A54" s="11" t="s">
        <v>110</v>
      </c>
      <c r="D54" s="12">
        <f>(3.87*12*D5)</f>
        <v>303202.116</v>
      </c>
    </row>
    <row r="55" spans="1:4" ht="12.75">
      <c r="A55" s="11" t="s">
        <v>70</v>
      </c>
      <c r="D55" s="12">
        <f>2.25*12*D6</f>
        <v>3267</v>
      </c>
    </row>
    <row r="56" spans="1:4" ht="12.75">
      <c r="A56" s="11" t="s">
        <v>71</v>
      </c>
      <c r="D56" s="12">
        <v>107734.3</v>
      </c>
    </row>
    <row r="57" spans="1:4" ht="12.75">
      <c r="A57" s="11" t="s">
        <v>72</v>
      </c>
      <c r="D57" s="12">
        <f>(0.91*12*D5)</f>
        <v>71295.58799999999</v>
      </c>
    </row>
    <row r="58" spans="1:4" ht="12.75" hidden="1">
      <c r="A58" s="14" t="s">
        <v>96</v>
      </c>
      <c r="D58" s="12">
        <v>0</v>
      </c>
    </row>
    <row r="59" spans="1:6" ht="12.75">
      <c r="A59" s="11"/>
      <c r="D59" s="12"/>
      <c r="F59" s="18"/>
    </row>
    <row r="60" spans="1:6" ht="12.75">
      <c r="A60" s="11" t="s">
        <v>73</v>
      </c>
      <c r="D60" s="12">
        <f>D43+D46+D47+D48+D49+D50+D51+D52+D53+D54+D55+D56+D57</f>
        <v>1463064.188</v>
      </c>
      <c r="F60" s="18"/>
    </row>
    <row r="61" spans="1:4" ht="12.75">
      <c r="A61" s="11"/>
      <c r="D61" s="12"/>
    </row>
    <row r="62" spans="1:4" ht="12.75">
      <c r="A62" t="s">
        <v>99</v>
      </c>
      <c r="D62" s="12">
        <f>C39-D60</f>
        <v>203723.69200000027</v>
      </c>
    </row>
    <row r="64" spans="1:2" ht="12.75" hidden="1">
      <c r="A64">
        <v>962</v>
      </c>
      <c r="B64" t="s">
        <v>27</v>
      </c>
    </row>
    <row r="65" spans="1:2" ht="12.75" hidden="1">
      <c r="A65">
        <v>1840</v>
      </c>
      <c r="B65" t="s">
        <v>119</v>
      </c>
    </row>
    <row r="66" spans="1:2" ht="12.75" hidden="1">
      <c r="A66">
        <v>1853</v>
      </c>
      <c r="B66" t="s">
        <v>27</v>
      </c>
    </row>
    <row r="67" spans="1:2" ht="12.75" hidden="1">
      <c r="A67">
        <v>2044</v>
      </c>
      <c r="B67" t="s">
        <v>194</v>
      </c>
    </row>
    <row r="68" spans="1:2" ht="12.75" hidden="1">
      <c r="A68">
        <v>65359</v>
      </c>
      <c r="B68" t="s">
        <v>203</v>
      </c>
    </row>
    <row r="69" spans="1:2" ht="12.75" hidden="1">
      <c r="A69">
        <v>1543</v>
      </c>
      <c r="B69" t="s">
        <v>16</v>
      </c>
    </row>
    <row r="70" spans="1:2" ht="12.75" hidden="1">
      <c r="A70">
        <v>2060</v>
      </c>
      <c r="B70" t="s">
        <v>119</v>
      </c>
    </row>
    <row r="71" spans="1:2" ht="12.75" hidden="1">
      <c r="A71">
        <v>6494</v>
      </c>
      <c r="B71" t="s">
        <v>33</v>
      </c>
    </row>
    <row r="72" spans="1:2" ht="12.75" hidden="1">
      <c r="A72">
        <v>3224</v>
      </c>
      <c r="B72" t="s">
        <v>27</v>
      </c>
    </row>
    <row r="73" spans="1:2" ht="12.75" hidden="1">
      <c r="A73">
        <v>5297</v>
      </c>
      <c r="B73" t="s">
        <v>143</v>
      </c>
    </row>
    <row r="74" spans="1:2" ht="12.75" hidden="1">
      <c r="A74">
        <v>3790</v>
      </c>
      <c r="B74" t="s">
        <v>138</v>
      </c>
    </row>
    <row r="75" spans="1:2" ht="12.75" hidden="1">
      <c r="A75">
        <v>717.33</v>
      </c>
      <c r="B75" t="s">
        <v>24</v>
      </c>
    </row>
    <row r="76" spans="1:2" ht="12.75" hidden="1">
      <c r="A76">
        <v>132</v>
      </c>
      <c r="B76" t="s">
        <v>147</v>
      </c>
    </row>
    <row r="77" spans="1:2" ht="12.75" hidden="1">
      <c r="A77">
        <v>3632</v>
      </c>
      <c r="B77" t="s">
        <v>119</v>
      </c>
    </row>
    <row r="78" spans="1:2" ht="12.75" hidden="1">
      <c r="A78">
        <v>3136</v>
      </c>
      <c r="B78" t="s">
        <v>29</v>
      </c>
    </row>
    <row r="79" spans="1:2" ht="12.75" hidden="1">
      <c r="A79">
        <v>966.33</v>
      </c>
      <c r="B79" t="s">
        <v>24</v>
      </c>
    </row>
    <row r="80" spans="1:2" ht="12.75" hidden="1">
      <c r="A80">
        <v>1855</v>
      </c>
      <c r="B80" t="s">
        <v>29</v>
      </c>
    </row>
    <row r="81" spans="1:2" ht="12.75" hidden="1">
      <c r="A81">
        <v>1048.67</v>
      </c>
      <c r="B81" t="s">
        <v>112</v>
      </c>
    </row>
    <row r="82" spans="1:2" ht="12.75" hidden="1">
      <c r="A82">
        <v>1781</v>
      </c>
      <c r="B82" t="s">
        <v>119</v>
      </c>
    </row>
    <row r="83" ht="12.75" hidden="1">
      <c r="A83">
        <f>SUM(A64:A82)</f>
        <v>107734.33</v>
      </c>
    </row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G76"/>
  <sheetViews>
    <sheetView zoomScalePageLayoutView="0" workbookViewId="0" topLeftCell="A44">
      <selection activeCell="A64" sqref="A64:IV77"/>
    </sheetView>
  </sheetViews>
  <sheetFormatPr defaultColWidth="9.140625" defaultRowHeight="12.75"/>
  <cols>
    <col min="2" max="2" width="14.140625" style="0" bestFit="1" customWidth="1"/>
    <col min="3" max="3" width="14.421875" style="0" bestFit="1" customWidth="1"/>
    <col min="4" max="4" width="14.00390625" style="0" bestFit="1" customWidth="1"/>
  </cols>
  <sheetData>
    <row r="1" ht="12.75">
      <c r="A1" t="s">
        <v>2</v>
      </c>
    </row>
    <row r="2" ht="12.75">
      <c r="A2" t="s">
        <v>205</v>
      </c>
    </row>
    <row r="3" spans="1:7" ht="12.75">
      <c r="A3" s="1" t="s">
        <v>34</v>
      </c>
      <c r="B3" s="2" t="s">
        <v>35</v>
      </c>
      <c r="C3" s="1" t="s">
        <v>90</v>
      </c>
      <c r="D3" s="1"/>
      <c r="E3" s="1" t="s">
        <v>36</v>
      </c>
      <c r="F3" s="3">
        <v>31</v>
      </c>
      <c r="G3" s="21">
        <v>2018</v>
      </c>
    </row>
    <row r="5" spans="1:5" ht="12.75">
      <c r="A5" t="s">
        <v>37</v>
      </c>
      <c r="D5" s="4">
        <v>5245.5</v>
      </c>
      <c r="E5" s="5" t="s">
        <v>74</v>
      </c>
    </row>
    <row r="6" spans="1:5" ht="12.75">
      <c r="A6" t="s">
        <v>38</v>
      </c>
      <c r="D6" s="4">
        <v>100</v>
      </c>
      <c r="E6" s="5"/>
    </row>
    <row r="7" spans="1:5" ht="12.75">
      <c r="A7" t="s">
        <v>39</v>
      </c>
      <c r="D7" s="4">
        <v>233</v>
      </c>
      <c r="E7" s="5" t="s">
        <v>40</v>
      </c>
    </row>
    <row r="8" spans="1:5" ht="12.75">
      <c r="A8" t="s">
        <v>41</v>
      </c>
      <c r="D8" s="4">
        <v>659.4</v>
      </c>
      <c r="E8" s="5" t="s">
        <v>74</v>
      </c>
    </row>
    <row r="9" spans="1:5" ht="12.75">
      <c r="A9" t="s">
        <v>42</v>
      </c>
      <c r="D9" s="4">
        <v>5718</v>
      </c>
      <c r="E9" s="5" t="s">
        <v>74</v>
      </c>
    </row>
    <row r="10" ht="12.75" hidden="1"/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1362236.3800000001</v>
      </c>
      <c r="C13" s="8">
        <f>SUM(C14:C25)</f>
        <v>1429808.86</v>
      </c>
      <c r="D13" s="8">
        <f>SUM(D14:D25)</f>
        <v>-67572.48000000001</v>
      </c>
    </row>
    <row r="14" spans="1:4" ht="12.75">
      <c r="A14" s="9" t="s">
        <v>59</v>
      </c>
      <c r="B14" s="8">
        <f>120541.62-1805</f>
        <v>118736.62</v>
      </c>
      <c r="C14" s="8">
        <v>116976.12</v>
      </c>
      <c r="D14" s="8">
        <f aca="true" t="shared" si="0" ref="D14:D25">B14-C14</f>
        <v>1760.5</v>
      </c>
    </row>
    <row r="15" spans="1:4" ht="12.75">
      <c r="A15" s="9" t="s">
        <v>47</v>
      </c>
      <c r="B15" s="8">
        <v>120541.62</v>
      </c>
      <c r="C15" s="13">
        <v>99405.37</v>
      </c>
      <c r="D15" s="8">
        <f t="shared" si="0"/>
        <v>21136.25</v>
      </c>
    </row>
    <row r="16" spans="1:4" ht="12.75">
      <c r="A16" s="9" t="s">
        <v>48</v>
      </c>
      <c r="B16" s="8">
        <v>120541.62</v>
      </c>
      <c r="C16" s="13">
        <v>126008.03</v>
      </c>
      <c r="D16" s="8">
        <f t="shared" si="0"/>
        <v>-5466.4100000000035</v>
      </c>
    </row>
    <row r="17" spans="1:4" ht="12.75">
      <c r="A17" s="9" t="s">
        <v>49</v>
      </c>
      <c r="B17" s="8">
        <v>120541.62</v>
      </c>
      <c r="C17" s="13">
        <v>117040.64</v>
      </c>
      <c r="D17" s="8">
        <f t="shared" si="0"/>
        <v>3500.979999999996</v>
      </c>
    </row>
    <row r="18" spans="1:4" ht="12.75">
      <c r="A18" s="9" t="s">
        <v>50</v>
      </c>
      <c r="B18" s="8">
        <v>120541.62</v>
      </c>
      <c r="C18" s="13">
        <v>138481.32</v>
      </c>
      <c r="D18" s="8">
        <f t="shared" si="0"/>
        <v>-17939.70000000001</v>
      </c>
    </row>
    <row r="19" spans="1:4" ht="12.75">
      <c r="A19" s="9" t="s">
        <v>51</v>
      </c>
      <c r="B19" s="8">
        <v>120541.62</v>
      </c>
      <c r="C19" s="13">
        <v>122957.29</v>
      </c>
      <c r="D19" s="8">
        <f t="shared" si="0"/>
        <v>-2415.6699999999983</v>
      </c>
    </row>
    <row r="20" spans="1:4" ht="12.75">
      <c r="A20" s="9" t="s">
        <v>52</v>
      </c>
      <c r="B20" s="8">
        <v>106798.61</v>
      </c>
      <c r="C20" s="13">
        <v>151117.21</v>
      </c>
      <c r="D20" s="8">
        <f t="shared" si="0"/>
        <v>-44318.59999999999</v>
      </c>
    </row>
    <row r="21" spans="1:4" ht="12.75">
      <c r="A21" s="9" t="s">
        <v>53</v>
      </c>
      <c r="B21" s="8">
        <v>106798.61</v>
      </c>
      <c r="C21" s="13">
        <v>114480.94</v>
      </c>
      <c r="D21" s="8">
        <f t="shared" si="0"/>
        <v>-7682.330000000002</v>
      </c>
    </row>
    <row r="22" spans="1:4" ht="12.75">
      <c r="A22" s="9" t="s">
        <v>54</v>
      </c>
      <c r="B22" s="8">
        <v>106798.61</v>
      </c>
      <c r="C22" s="13">
        <v>119140.15</v>
      </c>
      <c r="D22" s="8">
        <f t="shared" si="0"/>
        <v>-12341.539999999994</v>
      </c>
    </row>
    <row r="23" spans="1:4" ht="12.75">
      <c r="A23" s="9" t="s">
        <v>55</v>
      </c>
      <c r="B23" s="8">
        <v>106798.61</v>
      </c>
      <c r="C23" s="13">
        <v>112332.34</v>
      </c>
      <c r="D23" s="13">
        <f t="shared" si="0"/>
        <v>-5533.729999999996</v>
      </c>
    </row>
    <row r="24" spans="1:4" ht="12.75">
      <c r="A24" s="9" t="s">
        <v>56</v>
      </c>
      <c r="B24" s="8">
        <v>106798.61</v>
      </c>
      <c r="C24" s="13">
        <v>106586.63</v>
      </c>
      <c r="D24" s="13">
        <f t="shared" si="0"/>
        <v>211.97999999999593</v>
      </c>
    </row>
    <row r="25" spans="1:4" ht="12.75">
      <c r="A25" s="9" t="s">
        <v>57</v>
      </c>
      <c r="B25" s="8">
        <v>106798.61</v>
      </c>
      <c r="C25" s="13">
        <v>105282.82</v>
      </c>
      <c r="D25" s="13">
        <f t="shared" si="0"/>
        <v>1515.7899999999936</v>
      </c>
    </row>
    <row r="26" spans="1:4" ht="12.75">
      <c r="A26" s="7" t="s">
        <v>58</v>
      </c>
      <c r="B26" s="8">
        <f>SUM(B27:B38)</f>
        <v>211.6</v>
      </c>
      <c r="C26" s="8">
        <f>SUM(C27:C38)</f>
        <v>278.01</v>
      </c>
      <c r="D26" s="8">
        <f>SUM(D27:D38)</f>
        <v>-66.41</v>
      </c>
    </row>
    <row r="27" spans="1:4" ht="12.75">
      <c r="A27" s="9" t="s">
        <v>59</v>
      </c>
      <c r="B27" s="8">
        <v>19.09</v>
      </c>
      <c r="C27" s="8">
        <v>12.26</v>
      </c>
      <c r="D27" s="8">
        <f aca="true" t="shared" si="1" ref="D27:D38">B27-C27</f>
        <v>6.83</v>
      </c>
    </row>
    <row r="28" spans="1:4" ht="12.75">
      <c r="A28" s="9" t="s">
        <v>47</v>
      </c>
      <c r="B28" s="8">
        <v>19.09</v>
      </c>
      <c r="C28" s="13">
        <v>12.26</v>
      </c>
      <c r="D28" s="8">
        <f t="shared" si="1"/>
        <v>6.83</v>
      </c>
    </row>
    <row r="29" spans="1:4" ht="12.75">
      <c r="A29" s="9" t="s">
        <v>48</v>
      </c>
      <c r="B29" s="8">
        <v>19.09</v>
      </c>
      <c r="C29" s="13">
        <v>27.65</v>
      </c>
      <c r="D29" s="8">
        <f t="shared" si="1"/>
        <v>-8.559999999999999</v>
      </c>
    </row>
    <row r="30" spans="1:4" ht="12.75">
      <c r="A30" s="9" t="s">
        <v>49</v>
      </c>
      <c r="B30" s="8">
        <v>19.09</v>
      </c>
      <c r="C30" s="13">
        <v>30.11</v>
      </c>
      <c r="D30" s="8">
        <f t="shared" si="1"/>
        <v>-11.02</v>
      </c>
    </row>
    <row r="31" spans="1:4" ht="12.75">
      <c r="A31" s="9" t="s">
        <v>50</v>
      </c>
      <c r="B31" s="8">
        <v>19.09</v>
      </c>
      <c r="C31" s="13">
        <v>81.04</v>
      </c>
      <c r="D31" s="8">
        <f t="shared" si="1"/>
        <v>-61.95</v>
      </c>
    </row>
    <row r="32" spans="1:4" ht="12.75">
      <c r="A32" s="9" t="s">
        <v>51</v>
      </c>
      <c r="B32" s="8">
        <v>19.09</v>
      </c>
      <c r="C32" s="13">
        <v>18.58</v>
      </c>
      <c r="D32" s="8">
        <f t="shared" si="1"/>
        <v>0.5100000000000016</v>
      </c>
    </row>
    <row r="33" spans="1:4" ht="12.75">
      <c r="A33" s="9" t="s">
        <v>52</v>
      </c>
      <c r="B33" s="8">
        <v>19.09</v>
      </c>
      <c r="C33" s="13">
        <v>27.43</v>
      </c>
      <c r="D33" s="8">
        <f t="shared" si="1"/>
        <v>-8.34</v>
      </c>
    </row>
    <row r="34" spans="1:4" ht="12.75">
      <c r="A34" s="9" t="s">
        <v>53</v>
      </c>
      <c r="B34" s="8">
        <v>19.09</v>
      </c>
      <c r="C34" s="13">
        <v>13.58</v>
      </c>
      <c r="D34" s="8">
        <f t="shared" si="1"/>
        <v>5.51</v>
      </c>
    </row>
    <row r="35" spans="1:4" ht="12.75">
      <c r="A35" s="9" t="s">
        <v>54</v>
      </c>
      <c r="B35" s="8">
        <v>14.72</v>
      </c>
      <c r="C35" s="13">
        <v>12.39</v>
      </c>
      <c r="D35" s="8">
        <f t="shared" si="1"/>
        <v>2.33</v>
      </c>
    </row>
    <row r="36" spans="1:4" ht="12.75">
      <c r="A36" s="9" t="s">
        <v>55</v>
      </c>
      <c r="B36" s="8">
        <v>14.72</v>
      </c>
      <c r="C36" s="13">
        <v>18.09</v>
      </c>
      <c r="D36" s="13">
        <f t="shared" si="1"/>
        <v>-3.369999999999999</v>
      </c>
    </row>
    <row r="37" spans="1:4" ht="12.75">
      <c r="A37" s="9" t="s">
        <v>56</v>
      </c>
      <c r="B37" s="8">
        <v>14.72</v>
      </c>
      <c r="C37" s="13">
        <v>12.36</v>
      </c>
      <c r="D37" s="13">
        <f t="shared" si="1"/>
        <v>2.360000000000001</v>
      </c>
    </row>
    <row r="38" spans="1:4" ht="12.75">
      <c r="A38" s="9" t="s">
        <v>57</v>
      </c>
      <c r="B38" s="8">
        <v>14.72</v>
      </c>
      <c r="C38" s="13">
        <v>12.26</v>
      </c>
      <c r="D38" s="13">
        <f t="shared" si="1"/>
        <v>2.460000000000001</v>
      </c>
    </row>
    <row r="39" spans="1:4" ht="12.75">
      <c r="A39" s="9" t="s">
        <v>60</v>
      </c>
      <c r="B39" s="8">
        <f>B13+B26</f>
        <v>1362447.9800000002</v>
      </c>
      <c r="C39" s="8">
        <f>C13+C26</f>
        <v>1430086.87</v>
      </c>
      <c r="D39" s="8">
        <f>D13+D26</f>
        <v>-67638.89000000001</v>
      </c>
    </row>
    <row r="41" spans="1:4" ht="12.75">
      <c r="A41" t="s">
        <v>61</v>
      </c>
      <c r="D41" s="12">
        <f>D39</f>
        <v>-67638.89000000001</v>
      </c>
    </row>
    <row r="43" spans="1:4" ht="12.75">
      <c r="A43" s="11" t="s">
        <v>62</v>
      </c>
      <c r="D43" s="12">
        <f>D44+D45</f>
        <v>98825.22</v>
      </c>
    </row>
    <row r="44" spans="1:4" ht="12.75">
      <c r="A44" s="11" t="s">
        <v>63</v>
      </c>
      <c r="D44" s="12">
        <f>(1.33*12*D5)</f>
        <v>83718.18000000001</v>
      </c>
    </row>
    <row r="45" spans="1:4" ht="12.75">
      <c r="A45" s="11" t="s">
        <v>64</v>
      </c>
      <c r="D45" s="12">
        <f>(0.24*12*D5)</f>
        <v>15107.039999999999</v>
      </c>
    </row>
    <row r="46" spans="1:4" ht="12.75">
      <c r="A46" s="11" t="s">
        <v>65</v>
      </c>
      <c r="D46" s="12">
        <v>0</v>
      </c>
    </row>
    <row r="47" spans="1:4" ht="12.75">
      <c r="A47" s="11" t="s">
        <v>109</v>
      </c>
      <c r="D47" s="12">
        <f>2219.3*0.22*4+(2219.3*2.5)</f>
        <v>7501.234</v>
      </c>
    </row>
    <row r="48" spans="1:4" ht="12.75">
      <c r="A48" s="11" t="s">
        <v>121</v>
      </c>
      <c r="D48" s="12">
        <f>(2.66*12*D5)+50000</f>
        <v>217436.36000000002</v>
      </c>
    </row>
    <row r="49" spans="1:4" ht="12.75" hidden="1">
      <c r="A49" s="11" t="s">
        <v>66</v>
      </c>
      <c r="D49" s="12">
        <v>0</v>
      </c>
    </row>
    <row r="50" spans="1:4" ht="12.75">
      <c r="A50" s="11" t="s">
        <v>108</v>
      </c>
      <c r="D50" s="12">
        <f>(0.72*3*D5)+15000</f>
        <v>26330.28</v>
      </c>
    </row>
    <row r="51" spans="1:4" ht="12.75">
      <c r="A51" s="11" t="s">
        <v>67</v>
      </c>
      <c r="D51" s="12">
        <f>(1.45*12*D5)+25000</f>
        <v>116271.7</v>
      </c>
    </row>
    <row r="52" spans="1:4" ht="12.75">
      <c r="A52" s="11" t="s">
        <v>68</v>
      </c>
      <c r="D52" s="12">
        <f>(5.83*12*D5)+50000</f>
        <v>416975.18000000005</v>
      </c>
    </row>
    <row r="53" spans="1:4" ht="12.75">
      <c r="A53" s="11" t="s">
        <v>69</v>
      </c>
      <c r="D53" s="12">
        <f>(0.29*12*D5)</f>
        <v>18254.339999999997</v>
      </c>
    </row>
    <row r="54" spans="1:4" ht="12.75">
      <c r="A54" s="11" t="s">
        <v>110</v>
      </c>
      <c r="D54" s="12">
        <f>(3.87*12*D5)</f>
        <v>243601.02</v>
      </c>
    </row>
    <row r="55" spans="1:4" ht="12.75">
      <c r="A55" s="11" t="s">
        <v>70</v>
      </c>
      <c r="D55" s="12">
        <f>2.25*12*D6</f>
        <v>2700</v>
      </c>
    </row>
    <row r="56" spans="1:4" ht="12.75">
      <c r="A56" s="11" t="s">
        <v>71</v>
      </c>
      <c r="D56" s="12">
        <v>40726</v>
      </c>
    </row>
    <row r="57" spans="1:4" ht="12.75">
      <c r="A57" s="11" t="s">
        <v>72</v>
      </c>
      <c r="D57" s="12">
        <f>(0.91*12*D5)</f>
        <v>57280.86</v>
      </c>
    </row>
    <row r="58" spans="1:4" ht="12.75" hidden="1">
      <c r="A58" s="14" t="s">
        <v>96</v>
      </c>
      <c r="D58" s="12">
        <v>0</v>
      </c>
    </row>
    <row r="59" spans="1:4" ht="12.75">
      <c r="A59" s="11"/>
      <c r="D59" s="12"/>
    </row>
    <row r="60" spans="1:4" ht="12.75">
      <c r="A60" s="11" t="s">
        <v>73</v>
      </c>
      <c r="D60" s="12">
        <f>D43+D46+D47+D48+D49+D50+D51+D52+D53+D54+D55+D56+D57</f>
        <v>1245902.1940000001</v>
      </c>
    </row>
    <row r="61" spans="1:4" ht="12.75">
      <c r="A61" s="11"/>
      <c r="D61" s="12"/>
    </row>
    <row r="62" spans="1:4" ht="12.75">
      <c r="A62" t="s">
        <v>99</v>
      </c>
      <c r="D62" s="12">
        <f>C39-D60</f>
        <v>184184.67599999998</v>
      </c>
    </row>
    <row r="64" spans="1:2" ht="12.75" hidden="1">
      <c r="A64">
        <v>1840</v>
      </c>
      <c r="B64" t="s">
        <v>119</v>
      </c>
    </row>
    <row r="65" spans="1:2" ht="12.75" hidden="1">
      <c r="A65">
        <v>2035</v>
      </c>
      <c r="B65" t="s">
        <v>119</v>
      </c>
    </row>
    <row r="66" spans="1:2" ht="12.75" hidden="1">
      <c r="A66">
        <v>1177</v>
      </c>
      <c r="B66" t="s">
        <v>27</v>
      </c>
    </row>
    <row r="67" spans="1:2" ht="12.75" hidden="1">
      <c r="A67">
        <v>358</v>
      </c>
      <c r="B67" t="s">
        <v>22</v>
      </c>
    </row>
    <row r="68" spans="1:2" ht="12.75" hidden="1">
      <c r="A68">
        <v>4100</v>
      </c>
      <c r="B68" t="s">
        <v>119</v>
      </c>
    </row>
    <row r="69" spans="1:2" ht="12.75" hidden="1">
      <c r="A69">
        <v>4277</v>
      </c>
      <c r="B69" t="s">
        <v>119</v>
      </c>
    </row>
    <row r="70" spans="1:2" ht="12.75" hidden="1">
      <c r="A70">
        <v>8034</v>
      </c>
      <c r="B70" t="s">
        <v>119</v>
      </c>
    </row>
    <row r="71" spans="1:2" ht="12.75" hidden="1">
      <c r="A71">
        <v>2060</v>
      </c>
      <c r="B71" t="s">
        <v>119</v>
      </c>
    </row>
    <row r="72" spans="1:2" ht="12.75" hidden="1">
      <c r="A72">
        <v>1145</v>
      </c>
      <c r="B72" t="s">
        <v>124</v>
      </c>
    </row>
    <row r="73" spans="1:2" ht="12.75" hidden="1">
      <c r="A73">
        <v>7606</v>
      </c>
      <c r="B73" t="s">
        <v>119</v>
      </c>
    </row>
    <row r="74" spans="1:2" ht="12.75" hidden="1">
      <c r="A74">
        <v>417</v>
      </c>
      <c r="B74" t="s">
        <v>131</v>
      </c>
    </row>
    <row r="75" spans="1:2" ht="12.75" hidden="1">
      <c r="A75">
        <v>7677</v>
      </c>
      <c r="B75" t="s">
        <v>119</v>
      </c>
    </row>
    <row r="76" ht="12.75" hidden="1">
      <c r="A76">
        <f>SUM(A64:A75)</f>
        <v>40726</v>
      </c>
    </row>
    <row r="77" ht="12.75" hidden="1"/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G82"/>
  <sheetViews>
    <sheetView zoomScalePageLayoutView="0" workbookViewId="0" topLeftCell="A51">
      <selection activeCell="A64" sqref="A64:IV84"/>
    </sheetView>
  </sheetViews>
  <sheetFormatPr defaultColWidth="9.140625" defaultRowHeight="12.75"/>
  <cols>
    <col min="2" max="2" width="14.140625" style="0" bestFit="1" customWidth="1"/>
    <col min="3" max="3" width="14.57421875" style="0" bestFit="1" customWidth="1"/>
    <col min="4" max="4" width="13.421875" style="0" bestFit="1" customWidth="1"/>
  </cols>
  <sheetData>
    <row r="1" ht="12.75">
      <c r="A1" t="s">
        <v>2</v>
      </c>
    </row>
    <row r="2" ht="12.75">
      <c r="A2" t="s">
        <v>205</v>
      </c>
    </row>
    <row r="3" spans="1:7" ht="12.75">
      <c r="A3" s="1" t="s">
        <v>34</v>
      </c>
      <c r="B3" s="2" t="s">
        <v>35</v>
      </c>
      <c r="C3" s="1" t="s">
        <v>81</v>
      </c>
      <c r="D3" s="1"/>
      <c r="E3" s="1" t="s">
        <v>36</v>
      </c>
      <c r="F3" s="3">
        <v>12</v>
      </c>
      <c r="G3" s="21">
        <v>2018</v>
      </c>
    </row>
    <row r="5" spans="1:5" ht="12.75">
      <c r="A5" t="s">
        <v>37</v>
      </c>
      <c r="D5" s="4">
        <v>4256.7</v>
      </c>
      <c r="E5" s="5" t="s">
        <v>74</v>
      </c>
    </row>
    <row r="6" spans="1:5" ht="12.75">
      <c r="A6" t="s">
        <v>38</v>
      </c>
      <c r="D6" s="4">
        <v>82</v>
      </c>
      <c r="E6" s="5"/>
    </row>
    <row r="7" spans="1:5" ht="12.75">
      <c r="A7" t="s">
        <v>39</v>
      </c>
      <c r="D7" s="4">
        <v>179</v>
      </c>
      <c r="E7" s="5" t="s">
        <v>40</v>
      </c>
    </row>
    <row r="8" spans="1:5" ht="12.75">
      <c r="A8" t="s">
        <v>41</v>
      </c>
      <c r="D8" s="4">
        <v>501.6</v>
      </c>
      <c r="E8" s="5" t="s">
        <v>74</v>
      </c>
    </row>
    <row r="9" spans="1:5" ht="12.75">
      <c r="A9" t="s">
        <v>42</v>
      </c>
      <c r="D9" s="4">
        <v>2091</v>
      </c>
      <c r="E9" s="5" t="s">
        <v>74</v>
      </c>
    </row>
    <row r="10" ht="12.75" hidden="1"/>
    <row r="11" ht="12.75" hidden="1"/>
    <row r="12" spans="2:4" ht="12.75">
      <c r="B12" s="6" t="s">
        <v>43</v>
      </c>
      <c r="C12" s="6" t="s">
        <v>44</v>
      </c>
      <c r="D12" s="6" t="s">
        <v>45</v>
      </c>
    </row>
    <row r="13" spans="1:4" ht="12.75">
      <c r="A13" s="7" t="s">
        <v>46</v>
      </c>
      <c r="B13" s="8">
        <f>SUM(B14:B25)</f>
        <v>1103292.9600000002</v>
      </c>
      <c r="C13" s="8">
        <f>SUM(C14:C25)</f>
        <v>1090923.56</v>
      </c>
      <c r="D13" s="8">
        <f>SUM(D14:D25)</f>
        <v>12369.400000000023</v>
      </c>
    </row>
    <row r="14" spans="1:4" ht="12.75">
      <c r="A14" s="9" t="s">
        <v>59</v>
      </c>
      <c r="B14" s="8">
        <v>97562.34</v>
      </c>
      <c r="C14" s="8">
        <v>80017.02</v>
      </c>
      <c r="D14" s="8">
        <f aca="true" t="shared" si="0" ref="D14:D25">B14-C14</f>
        <v>17545.319999999992</v>
      </c>
    </row>
    <row r="15" spans="1:4" ht="12.75">
      <c r="A15" s="9" t="s">
        <v>47</v>
      </c>
      <c r="B15" s="8">
        <v>97562.34</v>
      </c>
      <c r="C15" s="13">
        <v>87257.5</v>
      </c>
      <c r="D15" s="8">
        <f t="shared" si="0"/>
        <v>10304.839999999997</v>
      </c>
    </row>
    <row r="16" spans="1:4" ht="12.75">
      <c r="A16" s="9" t="s">
        <v>48</v>
      </c>
      <c r="B16" s="8">
        <v>97562.34</v>
      </c>
      <c r="C16" s="13">
        <v>92571.55</v>
      </c>
      <c r="D16" s="8">
        <f t="shared" si="0"/>
        <v>4990.789999999994</v>
      </c>
    </row>
    <row r="17" spans="1:4" ht="12.75">
      <c r="A17" s="9" t="s">
        <v>49</v>
      </c>
      <c r="B17" s="8">
        <v>97562.34</v>
      </c>
      <c r="C17" s="13">
        <v>81679.57</v>
      </c>
      <c r="D17" s="8">
        <f t="shared" si="0"/>
        <v>15882.76999999999</v>
      </c>
    </row>
    <row r="18" spans="1:4" ht="12.75">
      <c r="A18" s="9" t="s">
        <v>50</v>
      </c>
      <c r="B18" s="8">
        <v>97562.34</v>
      </c>
      <c r="C18" s="13">
        <v>89294.48</v>
      </c>
      <c r="D18" s="8">
        <f t="shared" si="0"/>
        <v>8267.86</v>
      </c>
    </row>
    <row r="19" spans="1:4" ht="12.75">
      <c r="A19" s="9" t="s">
        <v>51</v>
      </c>
      <c r="B19" s="8">
        <v>97562.34</v>
      </c>
      <c r="C19" s="13">
        <v>87733.29</v>
      </c>
      <c r="D19" s="8">
        <f t="shared" si="0"/>
        <v>9829.050000000003</v>
      </c>
    </row>
    <row r="20" spans="1:4" ht="12.75">
      <c r="A20" s="9" t="s">
        <v>52</v>
      </c>
      <c r="B20" s="8">
        <v>86319.82</v>
      </c>
      <c r="C20" s="13">
        <v>100646.96</v>
      </c>
      <c r="D20" s="8">
        <f t="shared" si="0"/>
        <v>-14327.14</v>
      </c>
    </row>
    <row r="21" spans="1:4" ht="12.75">
      <c r="A21" s="9" t="s">
        <v>53</v>
      </c>
      <c r="B21" s="8">
        <v>86319.82</v>
      </c>
      <c r="C21" s="13">
        <v>109094.28</v>
      </c>
      <c r="D21" s="8">
        <f t="shared" si="0"/>
        <v>-22774.459999999992</v>
      </c>
    </row>
    <row r="22" spans="1:4" ht="12.75">
      <c r="A22" s="9" t="s">
        <v>54</v>
      </c>
      <c r="B22" s="8">
        <v>86319.82</v>
      </c>
      <c r="C22" s="13">
        <v>106074.65</v>
      </c>
      <c r="D22" s="8">
        <f t="shared" si="0"/>
        <v>-19754.829999999987</v>
      </c>
    </row>
    <row r="23" spans="1:4" ht="12.75">
      <c r="A23" s="9" t="s">
        <v>55</v>
      </c>
      <c r="B23" s="8">
        <v>86319.82</v>
      </c>
      <c r="C23" s="13">
        <v>91949.29</v>
      </c>
      <c r="D23" s="13">
        <f t="shared" si="0"/>
        <v>-5629.469999999987</v>
      </c>
    </row>
    <row r="24" spans="1:4" ht="12.75">
      <c r="A24" s="9" t="s">
        <v>56</v>
      </c>
      <c r="B24" s="8">
        <v>86319.82</v>
      </c>
      <c r="C24" s="13">
        <v>78168.77</v>
      </c>
      <c r="D24" s="13">
        <f t="shared" si="0"/>
        <v>8151.050000000003</v>
      </c>
    </row>
    <row r="25" spans="1:4" ht="12.75">
      <c r="A25" s="9" t="s">
        <v>57</v>
      </c>
      <c r="B25" s="8">
        <v>86319.82</v>
      </c>
      <c r="C25" s="13">
        <v>86436.2</v>
      </c>
      <c r="D25" s="13">
        <f t="shared" si="0"/>
        <v>-116.3799999999901</v>
      </c>
    </row>
    <row r="26" spans="1:4" ht="12.75">
      <c r="A26" s="7" t="s">
        <v>58</v>
      </c>
      <c r="B26" s="8">
        <f>SUM(B27:B38)</f>
        <v>387.23999999999995</v>
      </c>
      <c r="C26" s="8">
        <f>SUM(C27:C38)</f>
        <v>301.90999999999997</v>
      </c>
      <c r="D26" s="8">
        <f>SUM(D27:D38)</f>
        <v>85.33000000000004</v>
      </c>
    </row>
    <row r="27" spans="1:4" ht="12.75">
      <c r="A27" s="9" t="s">
        <v>59</v>
      </c>
      <c r="B27" s="8">
        <v>32.27</v>
      </c>
      <c r="C27" s="8">
        <v>20.38</v>
      </c>
      <c r="D27" s="8">
        <f aca="true" t="shared" si="1" ref="D27:D34">B27-C27</f>
        <v>11.890000000000004</v>
      </c>
    </row>
    <row r="28" spans="1:4" ht="12.75">
      <c r="A28" s="9" t="s">
        <v>47</v>
      </c>
      <c r="B28" s="8">
        <v>32.27</v>
      </c>
      <c r="C28" s="13">
        <v>16.71</v>
      </c>
      <c r="D28" s="8">
        <f t="shared" si="1"/>
        <v>15.560000000000002</v>
      </c>
    </row>
    <row r="29" spans="1:4" ht="12.75">
      <c r="A29" s="9" t="s">
        <v>48</v>
      </c>
      <c r="B29" s="8">
        <v>32.27</v>
      </c>
      <c r="C29" s="13">
        <v>32.76</v>
      </c>
      <c r="D29" s="8">
        <f t="shared" si="1"/>
        <v>-0.4899999999999949</v>
      </c>
    </row>
    <row r="30" spans="1:4" ht="12.75">
      <c r="A30" s="9" t="s">
        <v>49</v>
      </c>
      <c r="B30" s="8">
        <v>32.27</v>
      </c>
      <c r="C30" s="13">
        <v>24.38</v>
      </c>
      <c r="D30" s="8">
        <f t="shared" si="1"/>
        <v>7.890000000000004</v>
      </c>
    </row>
    <row r="31" spans="1:4" ht="12.75">
      <c r="A31" s="9" t="s">
        <v>50</v>
      </c>
      <c r="B31" s="8">
        <v>32.27</v>
      </c>
      <c r="C31" s="13">
        <v>25.09</v>
      </c>
      <c r="D31" s="8">
        <f t="shared" si="1"/>
        <v>7.180000000000003</v>
      </c>
    </row>
    <row r="32" spans="1:4" ht="12.75">
      <c r="A32" s="9" t="s">
        <v>51</v>
      </c>
      <c r="B32" s="8">
        <v>32.27</v>
      </c>
      <c r="C32" s="13">
        <v>16</v>
      </c>
      <c r="D32" s="8">
        <f t="shared" si="1"/>
        <v>16.270000000000003</v>
      </c>
    </row>
    <row r="33" spans="1:4" ht="12.75">
      <c r="A33" s="9" t="s">
        <v>52</v>
      </c>
      <c r="B33" s="8">
        <v>32.27</v>
      </c>
      <c r="C33" s="13">
        <v>33.4</v>
      </c>
      <c r="D33" s="8">
        <f t="shared" si="1"/>
        <v>-1.1299999999999955</v>
      </c>
    </row>
    <row r="34" spans="1:4" ht="12.75">
      <c r="A34" s="9" t="s">
        <v>53</v>
      </c>
      <c r="B34" s="8">
        <v>32.27</v>
      </c>
      <c r="C34" s="13">
        <v>21.05</v>
      </c>
      <c r="D34" s="8">
        <f t="shared" si="1"/>
        <v>11.220000000000002</v>
      </c>
    </row>
    <row r="35" spans="1:4" ht="12.75">
      <c r="A35" s="9" t="s">
        <v>54</v>
      </c>
      <c r="B35" s="8">
        <v>32.27</v>
      </c>
      <c r="C35" s="13">
        <v>21.54</v>
      </c>
      <c r="D35" s="8">
        <f>B35-C35</f>
        <v>10.730000000000004</v>
      </c>
    </row>
    <row r="36" spans="1:4" ht="12.75">
      <c r="A36" s="9" t="s">
        <v>55</v>
      </c>
      <c r="B36" s="8">
        <v>32.27</v>
      </c>
      <c r="C36" s="13">
        <v>32.07</v>
      </c>
      <c r="D36" s="13">
        <f>B36-C36</f>
        <v>0.20000000000000284</v>
      </c>
    </row>
    <row r="37" spans="1:4" ht="12.75">
      <c r="A37" s="9" t="s">
        <v>56</v>
      </c>
      <c r="B37" s="8">
        <v>32.27</v>
      </c>
      <c r="C37" s="13">
        <v>20.96</v>
      </c>
      <c r="D37" s="13">
        <f>B37-C37</f>
        <v>11.310000000000002</v>
      </c>
    </row>
    <row r="38" spans="1:4" ht="12.75">
      <c r="A38" s="9" t="s">
        <v>57</v>
      </c>
      <c r="B38" s="8">
        <v>32.27</v>
      </c>
      <c r="C38" s="13">
        <v>37.57</v>
      </c>
      <c r="D38" s="13">
        <f>B38-C38</f>
        <v>-5.299999999999997</v>
      </c>
    </row>
    <row r="39" spans="1:4" ht="12.75">
      <c r="A39" s="9" t="s">
        <v>60</v>
      </c>
      <c r="B39" s="8">
        <f>B13+B26</f>
        <v>1103680.2000000002</v>
      </c>
      <c r="C39" s="8">
        <f>C13+C26</f>
        <v>1091225.47</v>
      </c>
      <c r="D39" s="8">
        <f>D13+D26</f>
        <v>12454.730000000023</v>
      </c>
    </row>
    <row r="41" spans="1:4" ht="12.75">
      <c r="A41" t="s">
        <v>61</v>
      </c>
      <c r="D41" s="12">
        <f>D39</f>
        <v>12454.730000000023</v>
      </c>
    </row>
    <row r="43" spans="1:4" ht="12.75">
      <c r="A43" s="11" t="s">
        <v>62</v>
      </c>
      <c r="D43" s="12">
        <f>D44+D45</f>
        <v>80196.228</v>
      </c>
    </row>
    <row r="44" spans="1:4" ht="12.75">
      <c r="A44" s="11" t="s">
        <v>63</v>
      </c>
      <c r="D44" s="12">
        <f>(1.33*12*D5)</f>
        <v>67936.932</v>
      </c>
    </row>
    <row r="45" spans="1:4" ht="12.75">
      <c r="A45" s="11" t="s">
        <v>64</v>
      </c>
      <c r="D45" s="12">
        <f>(0.24*12*D5)</f>
        <v>12259.295999999998</v>
      </c>
    </row>
    <row r="46" spans="1:4" ht="12.75">
      <c r="A46" s="11" t="s">
        <v>65</v>
      </c>
      <c r="D46" s="12">
        <v>0</v>
      </c>
    </row>
    <row r="47" spans="1:4" ht="12.75">
      <c r="A47" s="11" t="s">
        <v>109</v>
      </c>
      <c r="D47" s="12">
        <f>1710*0.22*4+(1710*2.5)</f>
        <v>5779.8</v>
      </c>
    </row>
    <row r="48" spans="1:4" ht="12.75">
      <c r="A48" s="11" t="s">
        <v>121</v>
      </c>
      <c r="D48" s="12">
        <f>(2.66*12*D5)</f>
        <v>135873.864</v>
      </c>
    </row>
    <row r="49" spans="1:4" ht="12.75">
      <c r="A49" s="11" t="s">
        <v>66</v>
      </c>
      <c r="D49" s="12">
        <v>0</v>
      </c>
    </row>
    <row r="50" spans="1:4" ht="12.75">
      <c r="A50" s="11" t="s">
        <v>108</v>
      </c>
      <c r="D50" s="12">
        <f>(0.72*3*D5)</f>
        <v>9194.472</v>
      </c>
    </row>
    <row r="51" spans="1:4" ht="12.75">
      <c r="A51" s="11" t="s">
        <v>67</v>
      </c>
      <c r="D51" s="12">
        <f>(1.45*12*D5)</f>
        <v>74066.57999999999</v>
      </c>
    </row>
    <row r="52" spans="1:4" ht="12.75">
      <c r="A52" s="11" t="s">
        <v>68</v>
      </c>
      <c r="D52" s="12">
        <f>(5.83*12*D5)</f>
        <v>297798.732</v>
      </c>
    </row>
    <row r="53" spans="1:4" ht="12.75">
      <c r="A53" s="11" t="s">
        <v>69</v>
      </c>
      <c r="D53" s="12">
        <f>(0.29*12*D5)</f>
        <v>14813.315999999997</v>
      </c>
    </row>
    <row r="54" spans="1:4" ht="12.75">
      <c r="A54" s="11" t="s">
        <v>110</v>
      </c>
      <c r="D54" s="12">
        <f>(3.87*12*D5)</f>
        <v>197681.148</v>
      </c>
    </row>
    <row r="55" spans="1:4" ht="12.75">
      <c r="A55" s="11" t="s">
        <v>70</v>
      </c>
      <c r="D55" s="12">
        <f>2.25*12*D6</f>
        <v>2214</v>
      </c>
    </row>
    <row r="56" spans="1:4" ht="12.75">
      <c r="A56" s="11" t="s">
        <v>71</v>
      </c>
      <c r="D56" s="12">
        <v>138419</v>
      </c>
    </row>
    <row r="57" spans="1:4" ht="12.75">
      <c r="A57" s="11" t="s">
        <v>72</v>
      </c>
      <c r="D57" s="12">
        <f>(0.91*12*D5)</f>
        <v>46483.164</v>
      </c>
    </row>
    <row r="58" spans="1:4" ht="12.75" hidden="1">
      <c r="A58" s="14" t="s">
        <v>96</v>
      </c>
      <c r="D58" s="12">
        <v>0</v>
      </c>
    </row>
    <row r="59" spans="1:4" ht="12.75">
      <c r="A59" s="11"/>
      <c r="D59" s="12"/>
    </row>
    <row r="60" spans="1:4" ht="12.75">
      <c r="A60" s="11" t="s">
        <v>73</v>
      </c>
      <c r="D60" s="12">
        <f>D43+D46+D47+D48+D49+D50+D51+D52+D53+D54+D55+D56+D57</f>
        <v>1002520.3039999999</v>
      </c>
    </row>
    <row r="61" spans="1:4" ht="12.75">
      <c r="A61" s="11"/>
      <c r="D61" s="12"/>
    </row>
    <row r="62" spans="1:4" ht="12.75">
      <c r="A62" t="s">
        <v>99</v>
      </c>
      <c r="D62" s="12">
        <f>C39-D60</f>
        <v>88705.16600000008</v>
      </c>
    </row>
    <row r="64" spans="1:2" ht="12.75" hidden="1">
      <c r="A64">
        <v>9497</v>
      </c>
      <c r="B64" t="s">
        <v>124</v>
      </c>
    </row>
    <row r="65" spans="1:2" ht="12.75" hidden="1">
      <c r="A65">
        <v>48828</v>
      </c>
      <c r="B65" t="s">
        <v>27</v>
      </c>
    </row>
    <row r="66" spans="1:2" ht="12.75" hidden="1">
      <c r="A66">
        <v>3510</v>
      </c>
      <c r="B66" t="s">
        <v>124</v>
      </c>
    </row>
    <row r="67" spans="1:2" ht="12.75" hidden="1">
      <c r="A67">
        <v>2891</v>
      </c>
      <c r="B67" t="s">
        <v>183</v>
      </c>
    </row>
    <row r="68" spans="1:2" ht="12.75" hidden="1">
      <c r="A68">
        <v>2400</v>
      </c>
      <c r="B68" t="s">
        <v>183</v>
      </c>
    </row>
    <row r="69" spans="1:2" ht="14.25" customHeight="1" hidden="1">
      <c r="A69">
        <v>7209</v>
      </c>
      <c r="B69" t="s">
        <v>184</v>
      </c>
    </row>
    <row r="70" spans="1:2" ht="12.75" hidden="1">
      <c r="A70">
        <v>3790</v>
      </c>
      <c r="B70" t="s">
        <v>185</v>
      </c>
    </row>
    <row r="71" ht="12.75" hidden="1"/>
    <row r="72" ht="12.75" hidden="1"/>
    <row r="73" spans="1:2" ht="12.75" hidden="1">
      <c r="A73">
        <v>4375</v>
      </c>
      <c r="B73" t="s">
        <v>186</v>
      </c>
    </row>
    <row r="74" spans="1:2" ht="12.75" hidden="1">
      <c r="A74">
        <v>390</v>
      </c>
      <c r="B74" t="s">
        <v>187</v>
      </c>
    </row>
    <row r="75" spans="1:2" ht="12.75" hidden="1">
      <c r="A75">
        <v>10958</v>
      </c>
      <c r="B75" t="s">
        <v>124</v>
      </c>
    </row>
    <row r="76" spans="1:2" ht="12.75" hidden="1">
      <c r="A76">
        <v>31689</v>
      </c>
      <c r="B76" t="s">
        <v>124</v>
      </c>
    </row>
    <row r="77" ht="12.75" hidden="1"/>
    <row r="78" spans="1:2" ht="12.75" hidden="1">
      <c r="A78">
        <v>1559</v>
      </c>
      <c r="B78" t="s">
        <v>16</v>
      </c>
    </row>
    <row r="79" spans="1:2" ht="12.75" hidden="1">
      <c r="A79">
        <v>1119</v>
      </c>
      <c r="B79" t="s">
        <v>119</v>
      </c>
    </row>
    <row r="80" spans="1:2" ht="12.75" hidden="1">
      <c r="A80">
        <v>2310</v>
      </c>
      <c r="B80" t="s">
        <v>27</v>
      </c>
    </row>
    <row r="81" spans="1:2" ht="12.75" hidden="1">
      <c r="A81">
        <v>7894</v>
      </c>
      <c r="B81" t="s">
        <v>20</v>
      </c>
    </row>
    <row r="82" ht="12.75" hidden="1">
      <c r="A82">
        <f>SUM(A64:A81)</f>
        <v>138419</v>
      </c>
    </row>
    <row r="83" ht="12.75" hidden="1"/>
    <row r="84" ht="12.75" hidden="1"/>
    <row r="85" ht="12.75" hidden="1"/>
    <row r="86" ht="12.75" hidden="1"/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2018-11-12T06:48:38Z</cp:lastPrinted>
  <dcterms:created xsi:type="dcterms:W3CDTF">1996-10-08T23:32:33Z</dcterms:created>
  <dcterms:modified xsi:type="dcterms:W3CDTF">2019-03-21T12:42:05Z</dcterms:modified>
  <cp:category/>
  <cp:version/>
  <cp:contentType/>
  <cp:contentStatus/>
</cp:coreProperties>
</file>